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کریمی\صورت مالی\"/>
    </mc:Choice>
  </mc:AlternateContent>
  <bookViews>
    <workbookView xWindow="-120" yWindow="-120" windowWidth="20640" windowHeight="11160" tabRatio="845" firstSheet="1" activeTab="5"/>
  </bookViews>
  <sheets>
    <sheet name="تجزیه و تحلیل صورت مالی" sheetId="104" r:id="rId1"/>
    <sheet name="مفروضات" sheetId="101" r:id="rId2"/>
    <sheet name="صفحه اول" sheetId="26" r:id="rId3"/>
    <sheet name="صورت وضعیت مالی" sheetId="77" r:id="rId4"/>
    <sheet name="صورت تغییرات در وضعیت مالی" sheetId="78" r:id="rId5"/>
    <sheet name="صورت تغییرات در ارزش خالص" sheetId="106" r:id="rId6"/>
    <sheet name="صورت مقایسه بودجه و عملکرد" sheetId="79" r:id="rId7"/>
    <sheet name="1-2" sheetId="81" r:id="rId8"/>
    <sheet name="2-1" sheetId="80" r:id="rId9"/>
    <sheet name="2-2" sheetId="82" r:id="rId10"/>
    <sheet name="2-3" sheetId="25" r:id="rId11"/>
    <sheet name="4" sheetId="49" r:id="rId12"/>
    <sheet name="3" sheetId="11" r:id="rId13"/>
    <sheet name="5" sheetId="108" r:id="rId14"/>
    <sheet name="6-7" sheetId="38" r:id="rId15"/>
    <sheet name="8-9" sheetId="50" r:id="rId16"/>
    <sheet name="10" sheetId="133" r:id="rId17"/>
    <sheet name="10+" sheetId="134" r:id="rId18"/>
    <sheet name="10-12" sheetId="48" r:id="rId19"/>
    <sheet name="13-14" sheetId="54" r:id="rId20"/>
    <sheet name="15" sheetId="96" r:id="rId21"/>
    <sheet name="16-17-18" sheetId="97" r:id="rId22"/>
    <sheet name="19-23" sheetId="111" r:id="rId23"/>
    <sheet name="24" sheetId="113" r:id="rId24"/>
    <sheet name="25-28" sheetId="84" r:id="rId25"/>
    <sheet name="29-32" sheetId="85" r:id="rId26"/>
    <sheet name="33-36" sheetId="116" r:id="rId27"/>
    <sheet name="37" sheetId="62" r:id="rId28"/>
    <sheet name="38-39" sheetId="118" r:id="rId29"/>
    <sheet name="40" sheetId="119" r:id="rId30"/>
    <sheet name="40-1" sheetId="120" r:id="rId31"/>
    <sheet name="41-1" sheetId="121" r:id="rId32"/>
    <sheet name="41-2" sheetId="122" r:id="rId33"/>
    <sheet name="43" sheetId="124" r:id="rId34"/>
    <sheet name="43-3" sheetId="125" r:id="rId35"/>
    <sheet name="44" sheetId="126" r:id="rId36"/>
    <sheet name="45" sheetId="86" r:id="rId37"/>
    <sheet name="45-2" sheetId="45" r:id="rId38"/>
    <sheet name="46" sheetId="68" r:id="rId39"/>
    <sheet name="47-49" sheetId="102" r:id="rId40"/>
  </sheets>
  <externalReferences>
    <externalReference r:id="rId41"/>
    <externalReference r:id="rId42"/>
    <externalReference r:id="rId43"/>
    <externalReference r:id="rId44"/>
    <externalReference r:id="rId45"/>
    <externalReference r:id="rId46"/>
  </externalReferences>
  <definedNames>
    <definedName name="_5_2__حساب‎ها_و_اسناد_دريافتني_حاصل_از_عملیات_غیر_مبادله_ای">'4'!#REF!</definedName>
    <definedName name="_8_پيش‌پرداخت‌ها">'6-7'!$B$33</definedName>
    <definedName name="_xlnm._FilterDatabase" localSheetId="17" hidden="1">'10+'!$A$30:$I$33</definedName>
    <definedName name="asas" localSheetId="0">#REF!</definedName>
    <definedName name="asas">#REF!</definedName>
    <definedName name="dgfh" localSheetId="0">#REF!</definedName>
    <definedName name="dgfh">#REF!</definedName>
    <definedName name="dsds" localSheetId="0">#REF!</definedName>
    <definedName name="dsds">#REF!</definedName>
    <definedName name="jsdhjk" localSheetId="0">#REF!</definedName>
    <definedName name="jsdhjk">#REF!</definedName>
    <definedName name="OLE_LINK1" localSheetId="7">'1-2'!$B$28</definedName>
    <definedName name="OLE_LINK1" localSheetId="8">'2-1'!#REF!</definedName>
    <definedName name="OLE_LINK1" localSheetId="9">'2-2'!#REF!</definedName>
    <definedName name="OLE_LINK1" localSheetId="10">'2-3'!#REF!</definedName>
    <definedName name="_xlnm.Print_Area" localSheetId="16">'10'!$A$1:$AW$32</definedName>
    <definedName name="_xlnm.Print_Area" localSheetId="18">'10-12'!$A$1:$K$275</definedName>
    <definedName name="_xlnm.Print_Area" localSheetId="7">'1-2'!$A$1:$H$129</definedName>
    <definedName name="_xlnm.Print_Area" localSheetId="19">'13-14'!$A$1:$N$17</definedName>
    <definedName name="_xlnm.Print_Area" localSheetId="20">'15'!$A$1:$I$63</definedName>
    <definedName name="_xlnm.Print_Area" localSheetId="21">'16-17-18'!$A$1:$U$59</definedName>
    <definedName name="_xlnm.Print_Area" localSheetId="22">'19-23'!$A$1:$P$112</definedName>
    <definedName name="_xlnm.Print_Area" localSheetId="8">'2-1'!$A$1:$H$24</definedName>
    <definedName name="_xlnm.Print_Area" localSheetId="9">'2-2'!$A$1:$H$21</definedName>
    <definedName name="_xlnm.Print_Area" localSheetId="10">'2-3'!$A$1:$H$17</definedName>
    <definedName name="_xlnm.Print_Area" localSheetId="24">'25-28'!$A$1:$I$102</definedName>
    <definedName name="_xlnm.Print_Area" localSheetId="25">'29-32'!$A$1:$I$57</definedName>
    <definedName name="_xlnm.Print_Area" localSheetId="12">'3'!$A$1:$N$37</definedName>
    <definedName name="_xlnm.Print_Area" localSheetId="26">'33-36'!$A$1:$I$53</definedName>
    <definedName name="_xlnm.Print_Area" localSheetId="27">'37'!$A$1:$P$44</definedName>
    <definedName name="_xlnm.Print_Area" localSheetId="28">'38-39'!$A$1:$V$43</definedName>
    <definedName name="_xlnm.Print_Area" localSheetId="11">'4'!$A$1:$O$118</definedName>
    <definedName name="_xlnm.Print_Area" localSheetId="30">'40-1'!$A$1:$S$31</definedName>
    <definedName name="_xlnm.Print_Area" localSheetId="32">'41-2'!$A$1:$U$31</definedName>
    <definedName name="_xlnm.Print_Area" localSheetId="33">'43'!$A$1:$U$46</definedName>
    <definedName name="_xlnm.Print_Area" localSheetId="34">'43-3'!$A$1:$T$32</definedName>
    <definedName name="_xlnm.Print_Area" localSheetId="35">'44'!$A$1:$R$16</definedName>
    <definedName name="_xlnm.Print_Area" localSheetId="36">'45'!$A$1:$J$19</definedName>
    <definedName name="_xlnm.Print_Area" localSheetId="37">'45-2'!$A$1:$J$31</definedName>
    <definedName name="_xlnm.Print_Area" localSheetId="38">'46'!$A$1:$I$37</definedName>
    <definedName name="_xlnm.Print_Area" localSheetId="39">'47-49'!$A$1:$AH$39</definedName>
    <definedName name="_xlnm.Print_Area" localSheetId="14">'6-7'!$A$1:$L$136</definedName>
    <definedName name="_xlnm.Print_Area" localSheetId="15">'8-9'!$A$1:$AX$25</definedName>
    <definedName name="_xlnm.Print_Area" localSheetId="2">'صفحه اول'!$A$1:$J$28</definedName>
    <definedName name="_xlnm.Print_Area" localSheetId="5">'صورت تغییرات در ارزش خالص'!$A$1:$L$22</definedName>
    <definedName name="_xlnm.Print_Area" localSheetId="4">'صورت تغییرات در وضعیت مالی'!$A$1:$L$39</definedName>
    <definedName name="_xlnm.Print_Area" localSheetId="6">'صورت مقایسه بودجه و عملکرد'!$B$1:$M$58</definedName>
    <definedName name="_xlnm.Print_Area" localSheetId="3">'صورت وضعیت مالی'!$A$1:$O$29</definedName>
    <definedName name="_xlnm.Print_Area" localSheetId="1">مفروضات!$A$1:$E$48</definedName>
    <definedName name="_xlnm.Print_Titles" localSheetId="18">'10-12'!$1:$3</definedName>
    <definedName name="_xlnm.Print_Titles" localSheetId="7">'1-2'!$1:$3</definedName>
    <definedName name="_xlnm.Print_Titles" localSheetId="19">'13-14'!$1:$3</definedName>
    <definedName name="_xlnm.Print_Titles" localSheetId="21">'16-17-18'!$1:$3</definedName>
    <definedName name="_xlnm.Print_Titles" localSheetId="22">'19-23'!$1:$1</definedName>
    <definedName name="_xlnm.Print_Titles" localSheetId="8">'2-1'!$1:$3</definedName>
    <definedName name="_xlnm.Print_Titles" localSheetId="9">'2-2'!$1:$3</definedName>
    <definedName name="_xlnm.Print_Titles" localSheetId="10">'2-3'!$1:$3</definedName>
    <definedName name="_xlnm.Print_Titles" localSheetId="23">'24'!$18:$18</definedName>
    <definedName name="_xlnm.Print_Titles" localSheetId="24">'25-28'!$1:$3</definedName>
    <definedName name="_xlnm.Print_Titles" localSheetId="12">'3'!$1:$3</definedName>
    <definedName name="_xlnm.Print_Titles" localSheetId="27">'37'!$1:$3</definedName>
    <definedName name="_xlnm.Print_Titles" localSheetId="11">'4'!$1:$3</definedName>
    <definedName name="_xlnm.Print_Titles" localSheetId="36">'45'!$1:$3</definedName>
    <definedName name="_xlnm.Print_Titles" localSheetId="37">'45-2'!$1:$3</definedName>
    <definedName name="_xlnm.Print_Titles" localSheetId="38">'46'!$1:$3</definedName>
    <definedName name="_xlnm.Print_Titles" localSheetId="39">'47-49'!$1:$3</definedName>
    <definedName name="_xlnm.Print_Titles" localSheetId="14">'6-7'!$1:$3</definedName>
    <definedName name="_xlnm.Print_Titles" localSheetId="15">'8-9'!$1:$3</definedName>
    <definedName name="sheet1" localSheetId="0">'[1]فرم شماره 3.1'!#REF!</definedName>
    <definedName name="sheet1">'[1]فرم شماره 3.1'!#REF!</definedName>
    <definedName name="اب" localSheetId="0">'[1]فرم شماره 3.1'!#REF!</definedName>
    <definedName name="اب">'[1]فرم شماره 3.1'!#REF!</definedName>
    <definedName name="اددددد" localSheetId="0">'[1]فرم شماره 3.1'!#REF!</definedName>
    <definedName name="اددددد">'[1]فرم شماره 3.1'!#REF!</definedName>
    <definedName name="اصلاحيه_اول" localSheetId="0">'[2]فرم شماره 3.1'!#REF!</definedName>
    <definedName name="اصلاحيه_اول">'[1]فرم شماره 3.1'!#REF!</definedName>
    <definedName name="اصلي1" localSheetId="0">#REF!</definedName>
    <definedName name="اصلي1">#REF!</definedName>
    <definedName name="اصلی" localSheetId="0">#REF!</definedName>
    <definedName name="اصلی">#REF!</definedName>
    <definedName name="الال" localSheetId="0">'[2]فرم شماره 3.1'!#REF!</definedName>
    <definedName name="الال">'[1]فرم شماره 3.1'!#REF!</definedName>
    <definedName name="اوز" localSheetId="0">#REF!</definedName>
    <definedName name="اوز">#REF!</definedName>
    <definedName name="ب97" localSheetId="0">#REF!</definedName>
    <definedName name="ب97">#REF!</definedName>
    <definedName name="بلاتا" localSheetId="0">#REF!</definedName>
    <definedName name="بلاتا">#REF!</definedName>
    <definedName name="تا" localSheetId="0">'[1]فرم شماره 3.1'!#REF!</definedName>
    <definedName name="تا">'[1]فرم شماره 3.1'!#REF!</definedName>
    <definedName name="تاتا" localSheetId="0">#REF!</definedName>
    <definedName name="تاتا">#REF!</definedName>
    <definedName name="ثث" localSheetId="0">#REF!</definedName>
    <definedName name="ثث">#REF!</definedName>
    <definedName name="جمعبندي" localSheetId="0">#REF!</definedName>
    <definedName name="جمعبندي">#REF!</definedName>
    <definedName name="ذتنذد" localSheetId="0">'[3]فرم شماره 3.1'!#REF!</definedName>
    <definedName name="ذتنذد">'[3]فرم شماره 3.1'!#REF!</definedName>
    <definedName name="سيب" localSheetId="0">#REF!</definedName>
    <definedName name="سيب">#REF!</definedName>
    <definedName name="ششش" localSheetId="0">#REF!</definedName>
    <definedName name="ششش">#REF!</definedName>
    <definedName name="عم" localSheetId="0">#REF!</definedName>
    <definedName name="عم">#REF!</definedName>
    <definedName name="عملکرد94" localSheetId="0">#REF!</definedName>
    <definedName name="عملکرد94">#REF!</definedName>
    <definedName name="فردوس" localSheetId="0">'[1]فرم شماره 3.1'!#REF!</definedName>
    <definedName name="فردوس">'[1]فرم شماره 3.1'!#REF!</definedName>
    <definedName name="کلان" localSheetId="0">'[3]فرم شماره 3.1'!#REF!</definedName>
    <definedName name="کلان">'[3]فرم شماره 3.1'!#REF!</definedName>
    <definedName name="ل228" localSheetId="0">#REF!</definedName>
    <definedName name="ل228">#REF!</definedName>
    <definedName name="ل285" localSheetId="0">#REF!</definedName>
    <definedName name="ل285">#REF!</definedName>
    <definedName name="م" localSheetId="0">'[1]فرم شماره 3.1'!#REF!</definedName>
    <definedName name="م">'[1]فرم شماره 3.1'!#REF!</definedName>
    <definedName name="یی" localSheetId="0">#REF!</definedName>
    <definedName name="ی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5" i="78" l="1"/>
  <c r="I13" i="78"/>
  <c r="E13" i="78"/>
  <c r="P103" i="111"/>
  <c r="I12" i="78"/>
  <c r="E12" i="78"/>
  <c r="I11" i="78"/>
  <c r="E11" i="78"/>
  <c r="I10" i="78"/>
  <c r="E10" i="78"/>
  <c r="L40" i="118"/>
  <c r="L41" i="118"/>
  <c r="N111" i="111"/>
  <c r="P111" i="111" l="1"/>
  <c r="N103" i="111"/>
  <c r="P66" i="111"/>
  <c r="N66" i="111"/>
  <c r="J24" i="62" l="1"/>
  <c r="J25" i="62" s="1"/>
  <c r="T38" i="118" l="1"/>
  <c r="P41" i="118"/>
  <c r="P38" i="118"/>
  <c r="P40" i="118"/>
  <c r="T39" i="118"/>
  <c r="T40" i="118"/>
  <c r="T41" i="118"/>
  <c r="P89" i="111" l="1"/>
  <c r="P96" i="111"/>
  <c r="N96" i="111"/>
  <c r="L31" i="116"/>
  <c r="M32" i="116"/>
  <c r="M31" i="116"/>
  <c r="M30" i="116"/>
  <c r="M26" i="116"/>
  <c r="M24" i="116"/>
  <c r="M23" i="116"/>
  <c r="N89" i="111"/>
  <c r="P74" i="111" l="1"/>
  <c r="N74" i="111"/>
  <c r="P73" i="111"/>
  <c r="N73" i="111"/>
  <c r="L39" i="118" s="1"/>
  <c r="P39" i="118" s="1"/>
  <c r="F72" i="111"/>
  <c r="H72" i="111"/>
  <c r="F82" i="111"/>
  <c r="H82" i="111"/>
  <c r="F93" i="111"/>
  <c r="H93" i="111"/>
  <c r="F95" i="111"/>
  <c r="H95" i="111"/>
  <c r="P75" i="111" l="1"/>
  <c r="N75" i="111"/>
  <c r="H77" i="111"/>
  <c r="F77" i="111"/>
  <c r="K24" i="116"/>
  <c r="K22" i="116"/>
  <c r="K17" i="116"/>
  <c r="K18" i="116"/>
  <c r="J17" i="116"/>
  <c r="J19" i="116" s="1"/>
  <c r="E20" i="116"/>
  <c r="G35" i="78"/>
  <c r="G18" i="106"/>
  <c r="G15" i="106"/>
  <c r="G9" i="106"/>
  <c r="J18" i="116" l="1"/>
  <c r="J40" i="79"/>
  <c r="H19" i="102" l="1"/>
  <c r="AB20" i="102"/>
  <c r="L22" i="102"/>
  <c r="AF22" i="102"/>
  <c r="H18" i="102"/>
  <c r="O167" i="48" l="1"/>
  <c r="I167" i="48"/>
  <c r="P22" i="102" l="1"/>
  <c r="AB18" i="102"/>
  <c r="AB19" i="102"/>
  <c r="H22" i="102"/>
  <c r="AB22" i="102" l="1"/>
  <c r="K106" i="49"/>
  <c r="O35" i="102" l="1"/>
  <c r="N35" i="102"/>
  <c r="M35" i="102"/>
  <c r="L35" i="102"/>
  <c r="K35" i="102"/>
  <c r="I35" i="102"/>
  <c r="H35" i="102"/>
  <c r="G35" i="102"/>
  <c r="F35" i="102"/>
  <c r="E35" i="102"/>
  <c r="D35" i="102"/>
  <c r="J31" i="102"/>
  <c r="AH22" i="102"/>
  <c r="AD22" i="102"/>
  <c r="N12" i="102"/>
  <c r="L12" i="102"/>
  <c r="J12" i="102"/>
  <c r="A3" i="102"/>
  <c r="A1" i="102"/>
  <c r="F35" i="68"/>
  <c r="H29" i="68"/>
  <c r="F29" i="68"/>
  <c r="H7" i="68"/>
  <c r="F7" i="68"/>
  <c r="A3" i="68"/>
  <c r="A1" i="68"/>
  <c r="I30" i="45"/>
  <c r="G30" i="45"/>
  <c r="I22" i="45"/>
  <c r="G22" i="45"/>
  <c r="I19" i="45"/>
  <c r="G19" i="45"/>
  <c r="I14" i="45"/>
  <c r="G14" i="45"/>
  <c r="I11" i="45"/>
  <c r="G11" i="45"/>
  <c r="I6" i="45"/>
  <c r="G6" i="45"/>
  <c r="A3" i="45"/>
  <c r="A1" i="45"/>
  <c r="I18" i="86"/>
  <c r="G18" i="86"/>
  <c r="I14" i="86"/>
  <c r="G14" i="86"/>
  <c r="I10" i="86"/>
  <c r="G10" i="86"/>
  <c r="I9" i="86"/>
  <c r="G9" i="86"/>
  <c r="I8" i="86"/>
  <c r="I11" i="86" s="1"/>
  <c r="G8" i="86"/>
  <c r="G11" i="86" s="1"/>
  <c r="I6" i="86"/>
  <c r="G6" i="86"/>
  <c r="B3" i="86"/>
  <c r="A1" i="86"/>
  <c r="A3" i="126"/>
  <c r="A1" i="126"/>
  <c r="T31" i="125"/>
  <c r="P31" i="125"/>
  <c r="N31" i="125"/>
  <c r="L31" i="125"/>
  <c r="J31" i="125"/>
  <c r="H31" i="125"/>
  <c r="F31" i="125"/>
  <c r="D31" i="125"/>
  <c r="R24" i="125"/>
  <c r="R31" i="125" s="1"/>
  <c r="P17" i="125"/>
  <c r="N17" i="125"/>
  <c r="L17" i="125"/>
  <c r="J17" i="125"/>
  <c r="H17" i="125"/>
  <c r="F17" i="125"/>
  <c r="R17" i="125" s="1"/>
  <c r="D17" i="125"/>
  <c r="T17" i="125" s="1"/>
  <c r="R16" i="125"/>
  <c r="T16" i="125" s="1"/>
  <c r="R15" i="125"/>
  <c r="T15" i="125" s="1"/>
  <c r="R14" i="125"/>
  <c r="T14" i="125" s="1"/>
  <c r="R13" i="125"/>
  <c r="T13" i="125" s="1"/>
  <c r="R12" i="125"/>
  <c r="T12" i="125" s="1"/>
  <c r="R11" i="125"/>
  <c r="T11" i="125" s="1"/>
  <c r="R10" i="125"/>
  <c r="T10" i="125" s="1"/>
  <c r="A3" i="125"/>
  <c r="A1" i="125"/>
  <c r="N45" i="124"/>
  <c r="L45" i="124"/>
  <c r="J45" i="124"/>
  <c r="H45" i="124"/>
  <c r="F45" i="124"/>
  <c r="D45" i="124"/>
  <c r="P44" i="124"/>
  <c r="R44" i="124" s="1"/>
  <c r="P43" i="124"/>
  <c r="R43" i="124" s="1"/>
  <c r="P42" i="124"/>
  <c r="R42" i="124" s="1"/>
  <c r="P41" i="124"/>
  <c r="R41" i="124" s="1"/>
  <c r="P40" i="124"/>
  <c r="R40" i="124" s="1"/>
  <c r="P39" i="124"/>
  <c r="B33" i="124"/>
  <c r="B31" i="124"/>
  <c r="N28" i="124"/>
  <c r="L28" i="124"/>
  <c r="J28" i="124"/>
  <c r="H28" i="124"/>
  <c r="F28" i="124"/>
  <c r="P27" i="124"/>
  <c r="R27" i="124" s="1"/>
  <c r="P26" i="124"/>
  <c r="R26" i="124" s="1"/>
  <c r="P25" i="124"/>
  <c r="R25" i="124" s="1"/>
  <c r="P24" i="124"/>
  <c r="R24" i="124" s="1"/>
  <c r="P23" i="124"/>
  <c r="D23" i="124"/>
  <c r="P22" i="124"/>
  <c r="R22" i="124" s="1"/>
  <c r="T12" i="124"/>
  <c r="N12" i="124"/>
  <c r="L12" i="124"/>
  <c r="J12" i="124"/>
  <c r="H12" i="124"/>
  <c r="F12" i="124"/>
  <c r="D12" i="124"/>
  <c r="P11" i="124"/>
  <c r="P10" i="124"/>
  <c r="T9" i="124"/>
  <c r="T13" i="124" s="1"/>
  <c r="N9" i="124"/>
  <c r="N13" i="124" s="1"/>
  <c r="L9" i="124"/>
  <c r="L13" i="124" s="1"/>
  <c r="J9" i="124"/>
  <c r="J13" i="124" s="1"/>
  <c r="H9" i="124"/>
  <c r="H13" i="124" s="1"/>
  <c r="F9" i="124"/>
  <c r="F13" i="124" s="1"/>
  <c r="D9" i="124"/>
  <c r="D13" i="124" s="1"/>
  <c r="P8" i="124"/>
  <c r="R8" i="124" s="1"/>
  <c r="P7" i="124"/>
  <c r="A3" i="124"/>
  <c r="A1" i="124"/>
  <c r="P30" i="122"/>
  <c r="N30" i="122"/>
  <c r="J30" i="122"/>
  <c r="H30" i="122"/>
  <c r="F30" i="122"/>
  <c r="D30" i="122"/>
  <c r="R23" i="122"/>
  <c r="P16" i="122"/>
  <c r="N16" i="122"/>
  <c r="L16" i="122"/>
  <c r="J16" i="122"/>
  <c r="H16" i="122"/>
  <c r="R15" i="122"/>
  <c r="T15" i="122" s="1"/>
  <c r="R14" i="122"/>
  <c r="R13" i="122"/>
  <c r="T13" i="122" s="1"/>
  <c r="R12" i="122"/>
  <c r="T12" i="122" s="1"/>
  <c r="R11" i="122"/>
  <c r="T11" i="122" s="1"/>
  <c r="F10" i="122"/>
  <c r="R10" i="122" s="1"/>
  <c r="F9" i="122"/>
  <c r="A3" i="122"/>
  <c r="A1" i="122"/>
  <c r="R33" i="121"/>
  <c r="L33" i="121"/>
  <c r="J33" i="121"/>
  <c r="H33" i="121"/>
  <c r="F33" i="121"/>
  <c r="D33" i="121"/>
  <c r="P27" i="121"/>
  <c r="P33" i="121" s="1"/>
  <c r="N27" i="121"/>
  <c r="N33" i="121" s="1"/>
  <c r="P19" i="121"/>
  <c r="L19" i="121"/>
  <c r="J19" i="121"/>
  <c r="F19" i="121"/>
  <c r="D19" i="121"/>
  <c r="T18" i="121"/>
  <c r="R18" i="121"/>
  <c r="H17" i="121"/>
  <c r="N17" i="121" s="1"/>
  <c r="T16" i="121"/>
  <c r="R16" i="121"/>
  <c r="T15" i="121"/>
  <c r="R15" i="121"/>
  <c r="T14" i="121"/>
  <c r="R14" i="121"/>
  <c r="H13" i="121"/>
  <c r="N13" i="121" s="1"/>
  <c r="H12" i="121"/>
  <c r="A3" i="121"/>
  <c r="A1" i="121"/>
  <c r="N30" i="120"/>
  <c r="L30" i="120"/>
  <c r="J30" i="120"/>
  <c r="H30" i="120"/>
  <c r="F30" i="120"/>
  <c r="D30" i="120"/>
  <c r="P29" i="120"/>
  <c r="R29" i="120" s="1"/>
  <c r="P28" i="120"/>
  <c r="R28" i="120" s="1"/>
  <c r="P27" i="120"/>
  <c r="R27" i="120" s="1"/>
  <c r="P26" i="120"/>
  <c r="R26" i="120" s="1"/>
  <c r="P25" i="120"/>
  <c r="R25" i="120" s="1"/>
  <c r="P24" i="120"/>
  <c r="R24" i="120" s="1"/>
  <c r="P23" i="120"/>
  <c r="N16" i="120"/>
  <c r="L16" i="120"/>
  <c r="J16" i="120"/>
  <c r="H16" i="120"/>
  <c r="F16" i="120"/>
  <c r="P16" i="120" s="1"/>
  <c r="D16" i="120"/>
  <c r="R16" i="120" s="1"/>
  <c r="R15" i="120"/>
  <c r="P15" i="120"/>
  <c r="P13" i="126" s="1"/>
  <c r="P14" i="120"/>
  <c r="P13" i="120"/>
  <c r="P12" i="120"/>
  <c r="P11" i="120"/>
  <c r="P10" i="120"/>
  <c r="P9" i="120"/>
  <c r="A3" i="120"/>
  <c r="A1" i="120"/>
  <c r="P33" i="119"/>
  <c r="L33" i="119"/>
  <c r="J33" i="119"/>
  <c r="F33" i="119"/>
  <c r="D33" i="119"/>
  <c r="H32" i="119"/>
  <c r="N32" i="119" s="1"/>
  <c r="H31" i="119"/>
  <c r="N31" i="119" s="1"/>
  <c r="H30" i="119"/>
  <c r="N30" i="119" s="1"/>
  <c r="H29" i="119"/>
  <c r="N29" i="119" s="1"/>
  <c r="H28" i="119"/>
  <c r="N28" i="119" s="1"/>
  <c r="H27" i="119"/>
  <c r="N27" i="119" s="1"/>
  <c r="H26" i="119"/>
  <c r="N26" i="119" s="1"/>
  <c r="L19" i="119"/>
  <c r="J19" i="119"/>
  <c r="F19" i="119"/>
  <c r="D19" i="119"/>
  <c r="H18" i="119"/>
  <c r="N18" i="119" s="1"/>
  <c r="H17" i="119"/>
  <c r="N17" i="119" s="1"/>
  <c r="H16" i="119"/>
  <c r="N16" i="119" s="1"/>
  <c r="H15" i="119"/>
  <c r="N15" i="119" s="1"/>
  <c r="H14" i="119"/>
  <c r="N14" i="119" s="1"/>
  <c r="H13" i="119"/>
  <c r="N13" i="119" s="1"/>
  <c r="H12" i="119"/>
  <c r="A3" i="119"/>
  <c r="A1" i="119"/>
  <c r="T37" i="118"/>
  <c r="P37" i="118"/>
  <c r="T36" i="118"/>
  <c r="L36" i="118"/>
  <c r="P36" i="118" s="1"/>
  <c r="F27" i="118"/>
  <c r="D27" i="118"/>
  <c r="J25" i="118"/>
  <c r="H25" i="118"/>
  <c r="H27" i="118" s="1"/>
  <c r="L24" i="118"/>
  <c r="L23" i="118"/>
  <c r="L27" i="118" s="1"/>
  <c r="V11" i="118"/>
  <c r="L11" i="118"/>
  <c r="J11" i="118"/>
  <c r="N10" i="118"/>
  <c r="P10" i="118" s="1"/>
  <c r="R10" i="118" s="1"/>
  <c r="T10" i="118" s="1"/>
  <c r="D10" i="118"/>
  <c r="D11" i="118" s="1"/>
  <c r="H9" i="118"/>
  <c r="N9" i="118" s="1"/>
  <c r="T9" i="118" s="1"/>
  <c r="F8" i="118"/>
  <c r="A3" i="118"/>
  <c r="A1" i="118"/>
  <c r="P23" i="62"/>
  <c r="N21" i="62"/>
  <c r="L21" i="62"/>
  <c r="J21" i="62"/>
  <c r="H21" i="62"/>
  <c r="P20" i="62"/>
  <c r="P12" i="62"/>
  <c r="N12" i="62"/>
  <c r="G53" i="116"/>
  <c r="K35" i="78" s="1"/>
  <c r="F28" i="104" s="1"/>
  <c r="E53" i="116"/>
  <c r="G47" i="116"/>
  <c r="E47" i="116"/>
  <c r="G44" i="116"/>
  <c r="E44" i="116"/>
  <c r="E33" i="78" s="1"/>
  <c r="G40" i="116"/>
  <c r="E40" i="116"/>
  <c r="I32" i="78"/>
  <c r="E37" i="116"/>
  <c r="E32" i="78" s="1"/>
  <c r="G34" i="116"/>
  <c r="E34" i="116"/>
  <c r="B32" i="116"/>
  <c r="B30" i="116"/>
  <c r="G28" i="116"/>
  <c r="E28" i="116"/>
  <c r="E8" i="116" s="1"/>
  <c r="G22" i="116"/>
  <c r="E22" i="116"/>
  <c r="G20" i="116"/>
  <c r="G7" i="116" s="1"/>
  <c r="E7" i="116"/>
  <c r="G13" i="116"/>
  <c r="E13" i="116"/>
  <c r="G8" i="116"/>
  <c r="G5" i="116"/>
  <c r="E5" i="116"/>
  <c r="B3" i="116"/>
  <c r="A1" i="116"/>
  <c r="H51" i="85"/>
  <c r="F51" i="85"/>
  <c r="E30" i="78" s="1"/>
  <c r="H48" i="85"/>
  <c r="F48" i="85"/>
  <c r="H45" i="85"/>
  <c r="F45" i="85"/>
  <c r="H37" i="85"/>
  <c r="F37" i="85"/>
  <c r="H34" i="85"/>
  <c r="H35" i="85" s="1"/>
  <c r="F34" i="85"/>
  <c r="F35" i="85" s="1"/>
  <c r="H32" i="85"/>
  <c r="F32" i="85"/>
  <c r="B30" i="85"/>
  <c r="B28" i="85"/>
  <c r="H26" i="85"/>
  <c r="F26" i="85"/>
  <c r="H20" i="85"/>
  <c r="F20" i="85"/>
  <c r="H17" i="85"/>
  <c r="H18" i="85" s="1"/>
  <c r="F17" i="85"/>
  <c r="F18" i="85" s="1"/>
  <c r="H14" i="85"/>
  <c r="F14" i="85"/>
  <c r="F11" i="85"/>
  <c r="F12" i="85" s="1"/>
  <c r="E23" i="78" s="1"/>
  <c r="H12" i="126" s="1"/>
  <c r="H8" i="85"/>
  <c r="H12" i="85" s="1"/>
  <c r="H5" i="85"/>
  <c r="F5" i="85"/>
  <c r="B3" i="85"/>
  <c r="A1" i="85"/>
  <c r="H102" i="84"/>
  <c r="F102" i="84"/>
  <c r="H98" i="84"/>
  <c r="F98" i="84"/>
  <c r="H96" i="84"/>
  <c r="F96" i="84"/>
  <c r="F92" i="84"/>
  <c r="F89" i="84"/>
  <c r="H85" i="84"/>
  <c r="H89" i="84" s="1"/>
  <c r="H81" i="84"/>
  <c r="F81" i="84"/>
  <c r="H77" i="84"/>
  <c r="F77" i="84"/>
  <c r="H68" i="84"/>
  <c r="F68" i="84"/>
  <c r="H64" i="84"/>
  <c r="F51" i="84"/>
  <c r="F47" i="84"/>
  <c r="H42" i="84"/>
  <c r="F42" i="84"/>
  <c r="L32" i="84"/>
  <c r="H32" i="84"/>
  <c r="H44" i="84" s="1"/>
  <c r="H29" i="84"/>
  <c r="H92" i="84" s="1"/>
  <c r="F29" i="84"/>
  <c r="H25" i="84"/>
  <c r="F23" i="84"/>
  <c r="F22" i="84"/>
  <c r="F21" i="84"/>
  <c r="F20" i="84"/>
  <c r="F19" i="84"/>
  <c r="F18" i="84"/>
  <c r="F17" i="84"/>
  <c r="F16" i="84"/>
  <c r="F25" i="84" s="1"/>
  <c r="H14" i="84"/>
  <c r="F14" i="84"/>
  <c r="H8" i="84"/>
  <c r="H10" i="84" s="1"/>
  <c r="F8" i="84"/>
  <c r="F10" i="84" s="1"/>
  <c r="H6" i="84"/>
  <c r="F6" i="84"/>
  <c r="A3" i="84"/>
  <c r="A1" i="84"/>
  <c r="P83" i="113"/>
  <c r="N83" i="113"/>
  <c r="P58" i="113"/>
  <c r="N58" i="113"/>
  <c r="P51" i="113"/>
  <c r="N51" i="113"/>
  <c r="P30" i="113"/>
  <c r="N30" i="113"/>
  <c r="P28" i="113"/>
  <c r="N28" i="113"/>
  <c r="P23" i="113"/>
  <c r="N23" i="113"/>
  <c r="P20" i="113"/>
  <c r="N20" i="113"/>
  <c r="P19" i="113"/>
  <c r="N19" i="113"/>
  <c r="P18" i="113"/>
  <c r="P21" i="113" s="1"/>
  <c r="N18" i="113"/>
  <c r="N21" i="113" s="1"/>
  <c r="P16" i="113"/>
  <c r="N16" i="113"/>
  <c r="P13" i="113"/>
  <c r="N13" i="113"/>
  <c r="L13" i="113"/>
  <c r="J13" i="113"/>
  <c r="H13" i="113"/>
  <c r="F13" i="113"/>
  <c r="L6" i="113"/>
  <c r="F6" i="113"/>
  <c r="A3" i="113"/>
  <c r="A1" i="113"/>
  <c r="O60" i="111"/>
  <c r="B53" i="111"/>
  <c r="B52" i="111"/>
  <c r="B48" i="111"/>
  <c r="B47" i="111"/>
  <c r="B46" i="111"/>
  <c r="B45" i="111"/>
  <c r="N44" i="111"/>
  <c r="N60" i="111" s="1"/>
  <c r="N9" i="111" s="1"/>
  <c r="B44" i="111"/>
  <c r="B43" i="111"/>
  <c r="B42" i="111"/>
  <c r="B41" i="111"/>
  <c r="B40" i="111"/>
  <c r="B37" i="111"/>
  <c r="B36" i="111"/>
  <c r="P35" i="111"/>
  <c r="B35" i="111"/>
  <c r="P34" i="111"/>
  <c r="P60" i="111" s="1"/>
  <c r="P9" i="111" s="1"/>
  <c r="B34" i="111"/>
  <c r="B33" i="111"/>
  <c r="B32" i="111"/>
  <c r="P26" i="111"/>
  <c r="P8" i="111" s="1"/>
  <c r="N26" i="111"/>
  <c r="O22" i="111"/>
  <c r="P19" i="111"/>
  <c r="P7" i="111" s="1"/>
  <c r="N19" i="111"/>
  <c r="N7" i="111" s="1"/>
  <c r="P13" i="111"/>
  <c r="O13" i="111"/>
  <c r="N8" i="111"/>
  <c r="A3" i="111"/>
  <c r="A1" i="111"/>
  <c r="U54" i="97"/>
  <c r="S52" i="97"/>
  <c r="S54" i="97" s="1"/>
  <c r="U50" i="97"/>
  <c r="S50" i="97"/>
  <c r="U47" i="97"/>
  <c r="S47" i="97"/>
  <c r="U40" i="97"/>
  <c r="S40" i="97"/>
  <c r="U38" i="97"/>
  <c r="S38" i="97"/>
  <c r="U33" i="97"/>
  <c r="S33" i="97"/>
  <c r="U29" i="97"/>
  <c r="U31" i="97" s="1"/>
  <c r="S29" i="97"/>
  <c r="S31" i="97" s="1"/>
  <c r="U27" i="97"/>
  <c r="S27" i="97"/>
  <c r="U25" i="97"/>
  <c r="S25" i="97"/>
  <c r="U16" i="97"/>
  <c r="S16" i="97"/>
  <c r="T12" i="97"/>
  <c r="U10" i="97"/>
  <c r="U12" i="97" s="1"/>
  <c r="S10" i="97"/>
  <c r="S12" i="97" s="1"/>
  <c r="U5" i="97"/>
  <c r="S5" i="97"/>
  <c r="A3" i="97"/>
  <c r="A1" i="97"/>
  <c r="H59" i="96"/>
  <c r="D59" i="96"/>
  <c r="D56" i="96"/>
  <c r="F53" i="96"/>
  <c r="D48" i="96"/>
  <c r="D53" i="96" s="1"/>
  <c r="L43" i="96"/>
  <c r="H43" i="96"/>
  <c r="F43" i="96"/>
  <c r="D43" i="96"/>
  <c r="D34" i="96"/>
  <c r="N29" i="96"/>
  <c r="N27" i="96"/>
  <c r="H27" i="96"/>
  <c r="L26" i="96"/>
  <c r="L28" i="96" s="1"/>
  <c r="L30" i="96" s="1"/>
  <c r="L32" i="96" s="1"/>
  <c r="J26" i="96"/>
  <c r="J28" i="96" s="1"/>
  <c r="J30" i="96" s="1"/>
  <c r="J32" i="96" s="1"/>
  <c r="F26" i="96"/>
  <c r="F28" i="96" s="1"/>
  <c r="F30" i="96" s="1"/>
  <c r="F32" i="96" s="1"/>
  <c r="D26" i="96"/>
  <c r="D28" i="96" s="1"/>
  <c r="D30" i="96" s="1"/>
  <c r="D32" i="96" s="1"/>
  <c r="N23" i="96"/>
  <c r="N26" i="96" s="1"/>
  <c r="N28" i="96" s="1"/>
  <c r="N30" i="96" s="1"/>
  <c r="N32" i="96" s="1"/>
  <c r="H23" i="96"/>
  <c r="H26" i="96" s="1"/>
  <c r="H28" i="96" s="1"/>
  <c r="H30" i="96" s="1"/>
  <c r="H32" i="96" s="1"/>
  <c r="J21" i="96"/>
  <c r="D21" i="96"/>
  <c r="M13" i="96"/>
  <c r="H13" i="96"/>
  <c r="D13" i="96"/>
  <c r="H5" i="96"/>
  <c r="D5" i="96"/>
  <c r="A3" i="96"/>
  <c r="A1" i="96"/>
  <c r="N17" i="54"/>
  <c r="L17" i="54"/>
  <c r="N9" i="54"/>
  <c r="L9" i="54"/>
  <c r="N8" i="54"/>
  <c r="N10" i="54" s="1"/>
  <c r="L8" i="54"/>
  <c r="L10" i="54" s="1"/>
  <c r="N6" i="54"/>
  <c r="L6" i="54"/>
  <c r="B3" i="54"/>
  <c r="A1" i="54"/>
  <c r="K273" i="48"/>
  <c r="K270" i="48"/>
  <c r="E270" i="48"/>
  <c r="K267" i="48"/>
  <c r="G267" i="48"/>
  <c r="E267" i="48"/>
  <c r="M11" i="77" s="1"/>
  <c r="E15" i="104" s="1"/>
  <c r="I266" i="48"/>
  <c r="I267" i="48" s="1"/>
  <c r="K263" i="48"/>
  <c r="E263" i="48"/>
  <c r="K258" i="48"/>
  <c r="K215" i="48" s="1"/>
  <c r="G258" i="48"/>
  <c r="E258" i="48"/>
  <c r="I257" i="48"/>
  <c r="I256" i="48"/>
  <c r="I255" i="48"/>
  <c r="J252" i="48"/>
  <c r="K249" i="48"/>
  <c r="K212" i="48" s="1"/>
  <c r="G249" i="48"/>
  <c r="E249" i="48"/>
  <c r="E212" i="48" s="1"/>
  <c r="I248" i="48"/>
  <c r="I247" i="48"/>
  <c r="I246" i="48"/>
  <c r="J243" i="48"/>
  <c r="K240" i="48"/>
  <c r="G240" i="48"/>
  <c r="E240" i="48"/>
  <c r="I239" i="48"/>
  <c r="I238" i="48"/>
  <c r="I237" i="48"/>
  <c r="I236" i="48"/>
  <c r="I235" i="48"/>
  <c r="I234" i="48"/>
  <c r="I233" i="48"/>
  <c r="I232" i="48"/>
  <c r="I231" i="48"/>
  <c r="I230" i="48"/>
  <c r="I229" i="48"/>
  <c r="I228" i="48"/>
  <c r="I227" i="48"/>
  <c r="I226" i="48"/>
  <c r="I225" i="48"/>
  <c r="I224" i="48"/>
  <c r="I223" i="48"/>
  <c r="J220" i="48"/>
  <c r="G217" i="48"/>
  <c r="I216" i="48"/>
  <c r="E215" i="48"/>
  <c r="I215" i="48" s="1"/>
  <c r="I214" i="48"/>
  <c r="I213" i="48"/>
  <c r="K211" i="48"/>
  <c r="E211" i="48"/>
  <c r="J208" i="48"/>
  <c r="K199" i="48"/>
  <c r="G199" i="48"/>
  <c r="E199" i="48"/>
  <c r="I198" i="48"/>
  <c r="I197" i="48"/>
  <c r="I196" i="48"/>
  <c r="I195" i="48"/>
  <c r="I194" i="48"/>
  <c r="I193" i="48"/>
  <c r="I199" i="48" s="1"/>
  <c r="J190" i="48"/>
  <c r="K186" i="48"/>
  <c r="K33" i="48" s="1"/>
  <c r="G186" i="48"/>
  <c r="E186" i="48"/>
  <c r="I185" i="48"/>
  <c r="I181" i="48"/>
  <c r="I180" i="48"/>
  <c r="I179" i="48"/>
  <c r="I178" i="48"/>
  <c r="I177" i="48"/>
  <c r="I176" i="48"/>
  <c r="J173" i="48"/>
  <c r="K168" i="48"/>
  <c r="K32" i="48" s="1"/>
  <c r="G168" i="48"/>
  <c r="E168" i="48"/>
  <c r="E32" i="48" s="1"/>
  <c r="I32" i="48" s="1"/>
  <c r="I162" i="48"/>
  <c r="I161" i="48"/>
  <c r="I160" i="48"/>
  <c r="I159" i="48"/>
  <c r="I158" i="48"/>
  <c r="I157" i="48"/>
  <c r="I156" i="48"/>
  <c r="I155" i="48"/>
  <c r="I154" i="48"/>
  <c r="I153" i="48"/>
  <c r="I152" i="48"/>
  <c r="I151" i="48"/>
  <c r="I150" i="48"/>
  <c r="I149" i="48"/>
  <c r="J146" i="48"/>
  <c r="K141" i="48"/>
  <c r="K31" i="48" s="1"/>
  <c r="I140" i="48"/>
  <c r="I139" i="48"/>
  <c r="I138" i="48"/>
  <c r="I137" i="48"/>
  <c r="I136" i="48"/>
  <c r="E135" i="48"/>
  <c r="I134" i="48"/>
  <c r="I133" i="48"/>
  <c r="I132" i="48"/>
  <c r="J129" i="48"/>
  <c r="K124" i="48"/>
  <c r="J124" i="48"/>
  <c r="H124" i="48"/>
  <c r="G124" i="48"/>
  <c r="F124" i="48"/>
  <c r="E124" i="48"/>
  <c r="E30" i="48" s="1"/>
  <c r="I123" i="48"/>
  <c r="I122" i="48"/>
  <c r="I121" i="48"/>
  <c r="I120" i="48"/>
  <c r="I119" i="48"/>
  <c r="I118" i="48"/>
  <c r="I117" i="48"/>
  <c r="I116" i="48"/>
  <c r="I115" i="48"/>
  <c r="I114" i="48"/>
  <c r="I113" i="48"/>
  <c r="I112" i="48"/>
  <c r="J109" i="48"/>
  <c r="K104" i="48"/>
  <c r="K29" i="48" s="1"/>
  <c r="E104" i="48"/>
  <c r="I104" i="48" s="1"/>
  <c r="I103" i="48"/>
  <c r="I102" i="48"/>
  <c r="I101" i="48"/>
  <c r="I100" i="48"/>
  <c r="I99" i="48"/>
  <c r="I98" i="48"/>
  <c r="I97" i="48"/>
  <c r="I96" i="48"/>
  <c r="I95" i="48"/>
  <c r="I94" i="48"/>
  <c r="I93" i="48"/>
  <c r="I92" i="48"/>
  <c r="I91" i="48"/>
  <c r="I90" i="48"/>
  <c r="I89" i="48"/>
  <c r="I88" i="48"/>
  <c r="I87" i="48"/>
  <c r="I86" i="48"/>
  <c r="I85" i="48"/>
  <c r="I84" i="48"/>
  <c r="I83" i="48"/>
  <c r="I82" i="48"/>
  <c r="I81" i="48"/>
  <c r="I80" i="48"/>
  <c r="I79" i="48"/>
  <c r="I78" i="48"/>
  <c r="I77" i="48"/>
  <c r="I76" i="48"/>
  <c r="I75" i="48"/>
  <c r="I74" i="48"/>
  <c r="I73" i="48"/>
  <c r="I72" i="48"/>
  <c r="I71" i="48"/>
  <c r="I70" i="48"/>
  <c r="I69" i="48"/>
  <c r="I68" i="48"/>
  <c r="I67" i="48"/>
  <c r="I66" i="48"/>
  <c r="I65" i="48"/>
  <c r="J61" i="48"/>
  <c r="K56" i="48"/>
  <c r="J56" i="48"/>
  <c r="I56" i="48"/>
  <c r="H56" i="48"/>
  <c r="G56" i="48"/>
  <c r="F56" i="48"/>
  <c r="E56" i="48"/>
  <c r="J38" i="48"/>
  <c r="G35" i="48"/>
  <c r="I34" i="48"/>
  <c r="E33" i="48"/>
  <c r="I33" i="48" s="1"/>
  <c r="K30" i="48"/>
  <c r="K28" i="48"/>
  <c r="E28" i="48"/>
  <c r="I28" i="48" s="1"/>
  <c r="J25" i="48"/>
  <c r="G22" i="48"/>
  <c r="I19" i="48"/>
  <c r="K18" i="48"/>
  <c r="I18" i="48"/>
  <c r="K16" i="48"/>
  <c r="E16" i="48"/>
  <c r="I16" i="48" s="1"/>
  <c r="K12" i="48"/>
  <c r="K252" i="48" s="1"/>
  <c r="E12" i="48"/>
  <c r="E208" i="48" s="1"/>
  <c r="K6" i="48"/>
  <c r="E6" i="48"/>
  <c r="B3" i="48"/>
  <c r="A1" i="48"/>
  <c r="B28" i="134"/>
  <c r="A28" i="134"/>
  <c r="AW19" i="133"/>
  <c r="W19" i="133"/>
  <c r="AU19" i="133" s="1"/>
  <c r="AW18" i="133"/>
  <c r="W18" i="133"/>
  <c r="AU18" i="133" s="1"/>
  <c r="AW17" i="133"/>
  <c r="W17" i="133"/>
  <c r="AU17" i="133" s="1"/>
  <c r="AS16" i="133"/>
  <c r="AS20" i="133" s="1"/>
  <c r="AQ16" i="133"/>
  <c r="AQ20" i="133" s="1"/>
  <c r="AO16" i="133"/>
  <c r="AO20" i="133" s="1"/>
  <c r="AM16" i="133"/>
  <c r="AM20" i="133" s="1"/>
  <c r="AG16" i="133"/>
  <c r="AG20" i="133" s="1"/>
  <c r="AE16" i="133"/>
  <c r="AE20" i="133" s="1"/>
  <c r="AC16" i="133"/>
  <c r="AC20" i="133" s="1"/>
  <c r="AA16" i="133"/>
  <c r="AA20" i="133" s="1"/>
  <c r="Y16" i="133"/>
  <c r="Y20" i="133" s="1"/>
  <c r="U16" i="133"/>
  <c r="U20" i="133" s="1"/>
  <c r="S16" i="133"/>
  <c r="S20" i="133" s="1"/>
  <c r="Q16" i="133"/>
  <c r="Q20" i="133" s="1"/>
  <c r="O16" i="133"/>
  <c r="O20" i="133" s="1"/>
  <c r="L16" i="133"/>
  <c r="L20" i="133" s="1"/>
  <c r="J16" i="133"/>
  <c r="J20" i="133" s="1"/>
  <c r="H16" i="133"/>
  <c r="H20" i="133" s="1"/>
  <c r="F16" i="133"/>
  <c r="F20" i="133" s="1"/>
  <c r="D16" i="133"/>
  <c r="D20" i="133" s="1"/>
  <c r="AW15" i="133"/>
  <c r="AK15" i="133"/>
  <c r="W15" i="133"/>
  <c r="AU15" i="133" s="1"/>
  <c r="AW14" i="133"/>
  <c r="AK14" i="133"/>
  <c r="W14" i="133"/>
  <c r="AU14" i="133" s="1"/>
  <c r="AW13" i="133"/>
  <c r="AK13" i="133"/>
  <c r="W13" i="133"/>
  <c r="AU13" i="133" s="1"/>
  <c r="AW12" i="133"/>
  <c r="AK12" i="133"/>
  <c r="W12" i="133"/>
  <c r="AU12" i="133" s="1"/>
  <c r="AW11" i="133"/>
  <c r="AK11" i="133"/>
  <c r="W11" i="133"/>
  <c r="AU11" i="133" s="1"/>
  <c r="AW10" i="133"/>
  <c r="AK10" i="133"/>
  <c r="W10" i="133"/>
  <c r="AU10" i="133" s="1"/>
  <c r="AW9" i="133"/>
  <c r="AW16" i="133" s="1"/>
  <c r="AW20" i="133" s="1"/>
  <c r="AK9" i="133"/>
  <c r="AK16" i="133" s="1"/>
  <c r="AK20" i="133" s="1"/>
  <c r="W9" i="133"/>
  <c r="AW7" i="133"/>
  <c r="AU7" i="133"/>
  <c r="A3" i="133"/>
  <c r="A1" i="133"/>
  <c r="AT15" i="50"/>
  <c r="AT18" i="50" s="1"/>
  <c r="AR15" i="50"/>
  <c r="AR18" i="50" s="1"/>
  <c r="AP15" i="50"/>
  <c r="AP18" i="50" s="1"/>
  <c r="AN15" i="50"/>
  <c r="AN18" i="50" s="1"/>
  <c r="AL15" i="50"/>
  <c r="AL18" i="50" s="1"/>
  <c r="AJ15" i="50"/>
  <c r="AJ18" i="50" s="1"/>
  <c r="AH15" i="50"/>
  <c r="AH18" i="50" s="1"/>
  <c r="AF15" i="50"/>
  <c r="AF18" i="50" s="1"/>
  <c r="AD15" i="50"/>
  <c r="AD18" i="50" s="1"/>
  <c r="AB15" i="50"/>
  <c r="AB18" i="50" s="1"/>
  <c r="Z15" i="50"/>
  <c r="Z18" i="50" s="1"/>
  <c r="V15" i="50"/>
  <c r="V18" i="50" s="1"/>
  <c r="T15" i="50"/>
  <c r="T18" i="50" s="1"/>
  <c r="R15" i="50"/>
  <c r="R18" i="50" s="1"/>
  <c r="P15" i="50"/>
  <c r="P18" i="50" s="1"/>
  <c r="N15" i="50"/>
  <c r="N18" i="50" s="1"/>
  <c r="L15" i="50"/>
  <c r="L18" i="50" s="1"/>
  <c r="J15" i="50"/>
  <c r="J18" i="50" s="1"/>
  <c r="H15" i="50"/>
  <c r="H18" i="50" s="1"/>
  <c r="F15" i="50"/>
  <c r="F18" i="50" s="1"/>
  <c r="D15" i="50"/>
  <c r="D18" i="50" s="1"/>
  <c r="AX13" i="50"/>
  <c r="X13" i="50"/>
  <c r="AV13" i="50" s="1"/>
  <c r="X9" i="50"/>
  <c r="AX7" i="50"/>
  <c r="AV7" i="50"/>
  <c r="A3" i="50"/>
  <c r="A1" i="50"/>
  <c r="K131" i="38"/>
  <c r="I130" i="38"/>
  <c r="I131" i="38" s="1"/>
  <c r="I57" i="38"/>
  <c r="I53" i="38"/>
  <c r="I54" i="38" s="1"/>
  <c r="K51" i="38"/>
  <c r="K54" i="38" s="1"/>
  <c r="I47" i="38"/>
  <c r="K42" i="38"/>
  <c r="I42" i="38"/>
  <c r="K41" i="38"/>
  <c r="K44" i="38" s="1"/>
  <c r="I41" i="38"/>
  <c r="I44" i="38" s="1"/>
  <c r="I39" i="38"/>
  <c r="K36" i="38"/>
  <c r="K37" i="38" s="1"/>
  <c r="I36" i="38"/>
  <c r="I37" i="38" s="1"/>
  <c r="I34" i="38"/>
  <c r="K30" i="38"/>
  <c r="G30" i="38"/>
  <c r="E30" i="38"/>
  <c r="I30" i="38" s="1"/>
  <c r="I29" i="38"/>
  <c r="I28" i="38"/>
  <c r="I27" i="38"/>
  <c r="I26" i="38"/>
  <c r="K20" i="38"/>
  <c r="I20" i="38"/>
  <c r="G20" i="38"/>
  <c r="E20" i="38"/>
  <c r="K13" i="38"/>
  <c r="I12" i="38"/>
  <c r="I11" i="38"/>
  <c r="G10" i="38"/>
  <c r="E10" i="38"/>
  <c r="G9" i="38"/>
  <c r="K6" i="38"/>
  <c r="K15" i="38" s="1"/>
  <c r="K23" i="38" s="1"/>
  <c r="E6" i="38"/>
  <c r="E15" i="38" s="1"/>
  <c r="E23" i="38" s="1"/>
  <c r="A1" i="38"/>
  <c r="E22" i="108"/>
  <c r="C22" i="108"/>
  <c r="D19" i="108"/>
  <c r="K14" i="108"/>
  <c r="G14" i="108"/>
  <c r="M13" i="108"/>
  <c r="M12" i="108"/>
  <c r="I12" i="108"/>
  <c r="O11" i="108"/>
  <c r="O14" i="108" s="1"/>
  <c r="M11" i="108"/>
  <c r="I11" i="108"/>
  <c r="E11" i="108"/>
  <c r="E14" i="108" s="1"/>
  <c r="M10" i="108"/>
  <c r="I9" i="108"/>
  <c r="M9" i="108" s="1"/>
  <c r="M8" i="108"/>
  <c r="M14" i="108" s="1"/>
  <c r="I8" i="108"/>
  <c r="I14" i="108" s="1"/>
  <c r="O5" i="108"/>
  <c r="E5" i="108"/>
  <c r="B3" i="108"/>
  <c r="A1" i="108"/>
  <c r="O106" i="49"/>
  <c r="E106" i="49"/>
  <c r="I105" i="49"/>
  <c r="M105" i="49" s="1"/>
  <c r="I104" i="49"/>
  <c r="M104" i="49" s="1"/>
  <c r="I103" i="49"/>
  <c r="M103" i="49" s="1"/>
  <c r="I101" i="49"/>
  <c r="M101" i="49" s="1"/>
  <c r="I100" i="49"/>
  <c r="M100" i="49" s="1"/>
  <c r="I99" i="49"/>
  <c r="N96" i="49"/>
  <c r="O85" i="49"/>
  <c r="E85" i="49"/>
  <c r="I84" i="49"/>
  <c r="M84" i="49" s="1"/>
  <c r="M83" i="49"/>
  <c r="M82" i="49"/>
  <c r="I81" i="49"/>
  <c r="M81" i="49" s="1"/>
  <c r="I80" i="49"/>
  <c r="M80" i="49" s="1"/>
  <c r="I79" i="49"/>
  <c r="M79" i="49" s="1"/>
  <c r="I78" i="49"/>
  <c r="M78" i="49" s="1"/>
  <c r="I77" i="49"/>
  <c r="N74" i="49"/>
  <c r="E69" i="49"/>
  <c r="I68" i="49"/>
  <c r="M68" i="49" s="1"/>
  <c r="O68" i="49" s="1"/>
  <c r="O69" i="49" s="1"/>
  <c r="I67" i="49"/>
  <c r="N64" i="49"/>
  <c r="O58" i="49"/>
  <c r="E58" i="49"/>
  <c r="I57" i="49"/>
  <c r="M57" i="49" s="1"/>
  <c r="I56" i="49"/>
  <c r="M56" i="49" s="1"/>
  <c r="I55" i="49"/>
  <c r="I58" i="49" s="1"/>
  <c r="M58" i="49" s="1"/>
  <c r="N52" i="49"/>
  <c r="O39" i="49"/>
  <c r="K39" i="49"/>
  <c r="E39" i="49"/>
  <c r="E16" i="49" s="1"/>
  <c r="I16" i="49" s="1"/>
  <c r="M16" i="49" s="1"/>
  <c r="I38" i="49"/>
  <c r="M38" i="49" s="1"/>
  <c r="I37" i="49"/>
  <c r="M37" i="49" s="1"/>
  <c r="I36" i="49"/>
  <c r="M36" i="49" s="1"/>
  <c r="I35" i="49"/>
  <c r="M35" i="49" s="1"/>
  <c r="I34" i="49"/>
  <c r="M34" i="49" s="1"/>
  <c r="I33" i="49"/>
  <c r="M33" i="49" s="1"/>
  <c r="I32" i="49"/>
  <c r="M32" i="49" s="1"/>
  <c r="I31" i="49"/>
  <c r="M31" i="49" s="1"/>
  <c r="I30" i="49"/>
  <c r="M30" i="49" s="1"/>
  <c r="I29" i="49"/>
  <c r="N26" i="49"/>
  <c r="I22" i="49"/>
  <c r="M22" i="49" s="1"/>
  <c r="I21" i="49"/>
  <c r="M21" i="49" s="1"/>
  <c r="O20" i="49"/>
  <c r="E20" i="49"/>
  <c r="I20" i="49" s="1"/>
  <c r="M20" i="49" s="1"/>
  <c r="O19" i="49"/>
  <c r="E19" i="49"/>
  <c r="I19" i="49" s="1"/>
  <c r="M19" i="49" s="1"/>
  <c r="O18" i="49"/>
  <c r="E18" i="49"/>
  <c r="I18" i="49" s="1"/>
  <c r="M18" i="49" s="1"/>
  <c r="O17" i="49"/>
  <c r="E17" i="49"/>
  <c r="O16" i="49"/>
  <c r="O23" i="49" s="1"/>
  <c r="K16" i="49"/>
  <c r="K23" i="49" s="1"/>
  <c r="O13" i="49"/>
  <c r="E13" i="49"/>
  <c r="G10" i="49"/>
  <c r="O9" i="49"/>
  <c r="O10" i="49" s="1"/>
  <c r="K9" i="49"/>
  <c r="K10" i="49" s="1"/>
  <c r="I9" i="49"/>
  <c r="I10" i="49" s="1"/>
  <c r="O6" i="49"/>
  <c r="E6" i="49"/>
  <c r="E74" i="49" s="1"/>
  <c r="B3" i="49"/>
  <c r="A1" i="49"/>
  <c r="N34" i="11"/>
  <c r="L34" i="11"/>
  <c r="J34" i="11"/>
  <c r="H34" i="11"/>
  <c r="N25" i="11"/>
  <c r="J25" i="11"/>
  <c r="L23" i="11"/>
  <c r="L25" i="11" s="1"/>
  <c r="H23" i="11"/>
  <c r="H25" i="11" s="1"/>
  <c r="N10" i="11"/>
  <c r="L10" i="11"/>
  <c r="J10" i="11"/>
  <c r="H10" i="11"/>
  <c r="N9" i="11"/>
  <c r="N11" i="11" s="1"/>
  <c r="L9" i="11"/>
  <c r="L11" i="11" s="1"/>
  <c r="J9" i="11"/>
  <c r="J11" i="11" s="1"/>
  <c r="H9" i="11"/>
  <c r="H11" i="11" s="1"/>
  <c r="L6" i="11"/>
  <c r="L15" i="11" s="1"/>
  <c r="L30" i="11" s="1"/>
  <c r="H6" i="11"/>
  <c r="H15" i="11" s="1"/>
  <c r="H30" i="11" s="1"/>
  <c r="B3" i="11"/>
  <c r="B1" i="11"/>
  <c r="B3" i="25"/>
  <c r="A1" i="25"/>
  <c r="B3" i="82"/>
  <c r="A1" i="82"/>
  <c r="B3" i="80"/>
  <c r="A1" i="80"/>
  <c r="H114" i="81"/>
  <c r="F114" i="81"/>
  <c r="H101" i="81"/>
  <c r="F101" i="81"/>
  <c r="H90" i="81"/>
  <c r="F90" i="81"/>
  <c r="H80" i="81"/>
  <c r="F80" i="81"/>
  <c r="H66" i="81"/>
  <c r="F66" i="81"/>
  <c r="H52" i="81"/>
  <c r="F52" i="81"/>
  <c r="H37" i="81"/>
  <c r="F37" i="81"/>
  <c r="H23" i="81"/>
  <c r="G23" i="81"/>
  <c r="F23" i="81"/>
  <c r="H22" i="81"/>
  <c r="G22" i="81"/>
  <c r="F22" i="81"/>
  <c r="H21" i="81"/>
  <c r="G21" i="81"/>
  <c r="F21" i="81"/>
  <c r="H20" i="81"/>
  <c r="G20" i="81"/>
  <c r="F20" i="81"/>
  <c r="H19" i="81"/>
  <c r="G19" i="81"/>
  <c r="F19" i="81"/>
  <c r="H18" i="81"/>
  <c r="G18" i="81"/>
  <c r="F18" i="81"/>
  <c r="H17" i="81"/>
  <c r="G17" i="81"/>
  <c r="F17" i="81"/>
  <c r="H16" i="81"/>
  <c r="G16" i="81"/>
  <c r="F16" i="81"/>
  <c r="H15" i="81"/>
  <c r="H24" i="81" s="1"/>
  <c r="G15" i="81"/>
  <c r="G24" i="81" s="1"/>
  <c r="F15" i="81"/>
  <c r="F24" i="81" s="1"/>
  <c r="K30" i="81" s="1"/>
  <c r="B3" i="81"/>
  <c r="A1" i="81"/>
  <c r="F36" i="79"/>
  <c r="F37" i="79" s="1"/>
  <c r="J31" i="79"/>
  <c r="H31" i="79"/>
  <c r="L31" i="79" s="1"/>
  <c r="F31" i="79"/>
  <c r="F30" i="79"/>
  <c r="J29" i="79"/>
  <c r="H29" i="79"/>
  <c r="L29" i="79" s="1"/>
  <c r="F29" i="79"/>
  <c r="J28" i="79"/>
  <c r="H28" i="79"/>
  <c r="L28" i="79" s="1"/>
  <c r="F28" i="79"/>
  <c r="J27" i="79"/>
  <c r="H27" i="79"/>
  <c r="L27" i="79" s="1"/>
  <c r="F27" i="79"/>
  <c r="J26" i="79"/>
  <c r="H26" i="79"/>
  <c r="L26" i="79" s="1"/>
  <c r="F26" i="79"/>
  <c r="J25" i="79"/>
  <c r="H25" i="79"/>
  <c r="L25" i="79" s="1"/>
  <c r="F25" i="79"/>
  <c r="J24" i="79"/>
  <c r="F24" i="79"/>
  <c r="F32" i="79" s="1"/>
  <c r="H17" i="79"/>
  <c r="F17" i="79"/>
  <c r="F21" i="79" s="1"/>
  <c r="L11" i="79"/>
  <c r="J10" i="79"/>
  <c r="H10" i="79"/>
  <c r="L10" i="79" s="1"/>
  <c r="F10" i="79"/>
  <c r="F9" i="79"/>
  <c r="F12" i="79" s="1"/>
  <c r="P8" i="79"/>
  <c r="B3" i="79"/>
  <c r="B1" i="79"/>
  <c r="K18" i="106"/>
  <c r="K15" i="106"/>
  <c r="K12" i="106"/>
  <c r="G12" i="106"/>
  <c r="K9" i="106"/>
  <c r="E8" i="106"/>
  <c r="E17" i="106" s="1"/>
  <c r="E7" i="106"/>
  <c r="A3" i="106"/>
  <c r="A1" i="106"/>
  <c r="I33" i="78"/>
  <c r="I30" i="78"/>
  <c r="I25" i="78"/>
  <c r="E25" i="78"/>
  <c r="I24" i="78"/>
  <c r="E24" i="78"/>
  <c r="H13" i="126" s="1"/>
  <c r="I23" i="78"/>
  <c r="I22" i="78"/>
  <c r="E22" i="78"/>
  <c r="H11" i="126" s="1"/>
  <c r="I21" i="78"/>
  <c r="E21" i="78"/>
  <c r="H9" i="126" s="1"/>
  <c r="I20" i="78"/>
  <c r="I19" i="78"/>
  <c r="E19" i="78"/>
  <c r="I14" i="78"/>
  <c r="E14" i="78"/>
  <c r="F40" i="104"/>
  <c r="G53" i="104" s="1"/>
  <c r="A3" i="78"/>
  <c r="A1" i="78"/>
  <c r="O23" i="77"/>
  <c r="M23" i="77"/>
  <c r="O19" i="77"/>
  <c r="M19" i="77"/>
  <c r="O18" i="77"/>
  <c r="M18" i="77"/>
  <c r="G18" i="77"/>
  <c r="O17" i="77"/>
  <c r="O20" i="77" s="1"/>
  <c r="M17" i="77"/>
  <c r="M20" i="77" s="1"/>
  <c r="O14" i="77"/>
  <c r="M14" i="77"/>
  <c r="G14" i="77"/>
  <c r="E14" i="77"/>
  <c r="O13" i="77"/>
  <c r="M13" i="77"/>
  <c r="G13" i="77"/>
  <c r="G12" i="77"/>
  <c r="E12" i="77"/>
  <c r="O11" i="77"/>
  <c r="F15" i="104" s="1"/>
  <c r="G11" i="77"/>
  <c r="G10" i="77"/>
  <c r="G15" i="77" s="1"/>
  <c r="E10" i="77"/>
  <c r="A3" i="77"/>
  <c r="A1" i="77"/>
  <c r="B3" i="26"/>
  <c r="B1" i="26"/>
  <c r="C6" i="101"/>
  <c r="B3" i="38" s="1"/>
  <c r="F42" i="104"/>
  <c r="E42" i="104"/>
  <c r="G42" i="104" s="1"/>
  <c r="F41" i="104"/>
  <c r="F43" i="104" s="1"/>
  <c r="H39" i="104"/>
  <c r="G39" i="104"/>
  <c r="F38" i="104"/>
  <c r="E38" i="104"/>
  <c r="G38" i="104" s="1"/>
  <c r="H37" i="104"/>
  <c r="G37" i="104"/>
  <c r="F34" i="104"/>
  <c r="E34" i="104"/>
  <c r="G34" i="104" s="1"/>
  <c r="F33" i="104"/>
  <c r="E33" i="104"/>
  <c r="G33" i="104" s="1"/>
  <c r="F31" i="104"/>
  <c r="E31" i="104"/>
  <c r="G31" i="104" s="1"/>
  <c r="F30" i="104"/>
  <c r="E30" i="104"/>
  <c r="G30" i="104" s="1"/>
  <c r="F22" i="104"/>
  <c r="E22" i="104"/>
  <c r="G22" i="104" s="1"/>
  <c r="F21" i="104"/>
  <c r="E21" i="104"/>
  <c r="G21" i="104" s="1"/>
  <c r="F20" i="104"/>
  <c r="E20" i="104"/>
  <c r="F18" i="104"/>
  <c r="E18" i="104"/>
  <c r="G18" i="104" s="1"/>
  <c r="F17" i="104"/>
  <c r="E17" i="104"/>
  <c r="G17" i="104" s="1"/>
  <c r="F16" i="104"/>
  <c r="E16" i="104"/>
  <c r="G16" i="104" s="1"/>
  <c r="F11" i="104"/>
  <c r="F8" i="104"/>
  <c r="E8" i="104"/>
  <c r="G8" i="104" s="1"/>
  <c r="F7" i="104"/>
  <c r="F6" i="104"/>
  <c r="E6" i="104"/>
  <c r="G6" i="104" s="1"/>
  <c r="F5" i="104"/>
  <c r="F4" i="104"/>
  <c r="E4" i="104"/>
  <c r="G4" i="104" s="1"/>
  <c r="F3" i="104"/>
  <c r="E3" i="104"/>
  <c r="F1" i="104"/>
  <c r="B1" i="104"/>
  <c r="E28" i="104" l="1"/>
  <c r="G10" i="116"/>
  <c r="I31" i="78" s="1"/>
  <c r="K34" i="78" s="1"/>
  <c r="F9" i="104"/>
  <c r="H4" i="104"/>
  <c r="H6" i="104"/>
  <c r="H8" i="104"/>
  <c r="H16" i="104"/>
  <c r="H17" i="104"/>
  <c r="H18" i="104"/>
  <c r="E23" i="104"/>
  <c r="G20" i="104"/>
  <c r="F23" i="104"/>
  <c r="H23" i="104" s="1"/>
  <c r="H20" i="104"/>
  <c r="H21" i="104"/>
  <c r="H22" i="104"/>
  <c r="H30" i="104"/>
  <c r="H31" i="104"/>
  <c r="H33" i="104"/>
  <c r="H34" i="104"/>
  <c r="H38" i="104"/>
  <c r="H42" i="104"/>
  <c r="K26" i="78"/>
  <c r="F26" i="104" s="1"/>
  <c r="F22" i="79"/>
  <c r="F34" i="79" s="1"/>
  <c r="H21" i="79"/>
  <c r="O74" i="49"/>
  <c r="O26" i="49"/>
  <c r="I39" i="49"/>
  <c r="M39" i="49" s="1"/>
  <c r="M29" i="49"/>
  <c r="I69" i="49"/>
  <c r="M67" i="49"/>
  <c r="M69" i="49" s="1"/>
  <c r="I85" i="49"/>
  <c r="M77" i="49"/>
  <c r="M85" i="49" s="1"/>
  <c r="I106" i="49"/>
  <c r="M99" i="49"/>
  <c r="M106" i="49" s="1"/>
  <c r="G13" i="38"/>
  <c r="I9" i="38"/>
  <c r="E13" i="38"/>
  <c r="I10" i="38"/>
  <c r="X15" i="50"/>
  <c r="X18" i="50" s="1"/>
  <c r="AX9" i="50"/>
  <c r="AX15" i="50" s="1"/>
  <c r="AX18" i="50" s="1"/>
  <c r="G17" i="77" s="1"/>
  <c r="AV9" i="50"/>
  <c r="AV15" i="50" s="1"/>
  <c r="AV18" i="50" s="1"/>
  <c r="E17" i="77" s="1"/>
  <c r="W16" i="133"/>
  <c r="W20" i="133" s="1"/>
  <c r="AU9" i="133"/>
  <c r="AU16" i="133" s="1"/>
  <c r="AU20" i="133" s="1"/>
  <c r="E18" i="77" s="1"/>
  <c r="E11" i="104" s="1"/>
  <c r="E141" i="48"/>
  <c r="I141" i="48" s="1"/>
  <c r="I135" i="48"/>
  <c r="I240" i="48"/>
  <c r="I211" i="48" s="1"/>
  <c r="I249" i="48"/>
  <c r="I212" i="48" s="1"/>
  <c r="N10" i="111"/>
  <c r="E9" i="78" s="1"/>
  <c r="G15" i="78" s="1"/>
  <c r="E25" i="104" s="1"/>
  <c r="F51" i="104"/>
  <c r="L70" i="84"/>
  <c r="F64" i="84"/>
  <c r="F32" i="84" s="1"/>
  <c r="F44" i="84" s="1"/>
  <c r="E20" i="78" s="1"/>
  <c r="G26" i="78" s="1"/>
  <c r="K53" i="84"/>
  <c r="F11" i="118"/>
  <c r="N8" i="118"/>
  <c r="H8" i="118"/>
  <c r="H11" i="118" s="1"/>
  <c r="J27" i="118"/>
  <c r="J17" i="79" s="1"/>
  <c r="T42" i="118"/>
  <c r="H19" i="119"/>
  <c r="N19" i="119" s="1"/>
  <c r="N12" i="119"/>
  <c r="R13" i="119"/>
  <c r="P13" i="119"/>
  <c r="T13" i="119" s="1"/>
  <c r="R14" i="119"/>
  <c r="P14" i="119"/>
  <c r="T14" i="119" s="1"/>
  <c r="R15" i="119"/>
  <c r="P15" i="119"/>
  <c r="T15" i="119" s="1"/>
  <c r="R16" i="119"/>
  <c r="P16" i="119"/>
  <c r="T16" i="119" s="1"/>
  <c r="R17" i="119"/>
  <c r="P17" i="119"/>
  <c r="T17" i="119" s="1"/>
  <c r="R18" i="119"/>
  <c r="P18" i="119"/>
  <c r="T18" i="119" s="1"/>
  <c r="T26" i="119"/>
  <c r="R26" i="119"/>
  <c r="T27" i="119"/>
  <c r="R27" i="119"/>
  <c r="T28" i="119"/>
  <c r="R28" i="119"/>
  <c r="T29" i="119"/>
  <c r="R29" i="119"/>
  <c r="T30" i="119"/>
  <c r="R30" i="119"/>
  <c r="T31" i="119"/>
  <c r="R31" i="119"/>
  <c r="T32" i="119"/>
  <c r="R32" i="119"/>
  <c r="H33" i="119"/>
  <c r="N33" i="119" s="1"/>
  <c r="R33" i="119" s="1"/>
  <c r="P7" i="126"/>
  <c r="R9" i="120"/>
  <c r="P8" i="126"/>
  <c r="R10" i="120"/>
  <c r="P9" i="126"/>
  <c r="L9" i="126" s="1"/>
  <c r="R11" i="120"/>
  <c r="P10" i="126"/>
  <c r="R12" i="120"/>
  <c r="P11" i="126"/>
  <c r="L11" i="126" s="1"/>
  <c r="R13" i="120"/>
  <c r="P12" i="126"/>
  <c r="L12" i="126" s="1"/>
  <c r="R14" i="120"/>
  <c r="L13" i="126"/>
  <c r="P30" i="120"/>
  <c r="R23" i="120"/>
  <c r="R30" i="120" s="1"/>
  <c r="H19" i="121"/>
  <c r="N12" i="121"/>
  <c r="D10" i="122"/>
  <c r="T10" i="122" s="1"/>
  <c r="T13" i="121"/>
  <c r="R13" i="121"/>
  <c r="D14" i="122"/>
  <c r="T14" i="122" s="1"/>
  <c r="T17" i="121"/>
  <c r="R17" i="121"/>
  <c r="F16" i="122"/>
  <c r="R16" i="122" s="1"/>
  <c r="J30" i="79" s="1"/>
  <c r="J32" i="79" s="1"/>
  <c r="R9" i="122"/>
  <c r="R30" i="122"/>
  <c r="T23" i="122"/>
  <c r="T30" i="122" s="1"/>
  <c r="P9" i="124"/>
  <c r="R7" i="124"/>
  <c r="R9" i="124" s="1"/>
  <c r="P12" i="124"/>
  <c r="R10" i="124"/>
  <c r="R12" i="124" s="1"/>
  <c r="D28" i="124"/>
  <c r="R23" i="124"/>
  <c r="P28" i="124"/>
  <c r="P45" i="124"/>
  <c r="R39" i="124"/>
  <c r="R45" i="124" s="1"/>
  <c r="J35" i="102"/>
  <c r="P31" i="102"/>
  <c r="P35" i="102" s="1"/>
  <c r="E23" i="49"/>
  <c r="I23" i="49" s="1"/>
  <c r="M23" i="49" s="1"/>
  <c r="R17" i="49"/>
  <c r="I17" i="49"/>
  <c r="M17" i="49" s="1"/>
  <c r="M55" i="49"/>
  <c r="E10" i="116"/>
  <c r="E31" i="78" s="1"/>
  <c r="G34" i="78" s="1"/>
  <c r="G36" i="78" s="1"/>
  <c r="E220" i="48"/>
  <c r="K217" i="48"/>
  <c r="K17" i="48" s="1"/>
  <c r="G15" i="104"/>
  <c r="K35" i="48"/>
  <c r="K15" i="48" s="1"/>
  <c r="I168" i="48"/>
  <c r="I186" i="48"/>
  <c r="E252" i="48"/>
  <c r="I258" i="48"/>
  <c r="I217" i="48"/>
  <c r="K22" i="48"/>
  <c r="K9" i="48" s="1"/>
  <c r="K10" i="48" s="1"/>
  <c r="O10" i="77" s="1"/>
  <c r="O15" i="77" s="1"/>
  <c r="O21" i="77" s="1"/>
  <c r="E217" i="48"/>
  <c r="E17" i="48" s="1"/>
  <c r="I17" i="48" s="1"/>
  <c r="H15" i="104"/>
  <c r="E29" i="48"/>
  <c r="I29" i="48" s="1"/>
  <c r="E31" i="48"/>
  <c r="I31" i="48" s="1"/>
  <c r="E109" i="48"/>
  <c r="E243" i="48"/>
  <c r="E25" i="48"/>
  <c r="K25" i="48"/>
  <c r="E38" i="48"/>
  <c r="K38" i="48"/>
  <c r="E61" i="48"/>
  <c r="K61" i="48"/>
  <c r="E129" i="48"/>
  <c r="K129" i="48"/>
  <c r="E146" i="48"/>
  <c r="K146" i="48"/>
  <c r="E173" i="48"/>
  <c r="K173" i="48"/>
  <c r="E190" i="48"/>
  <c r="K190" i="48"/>
  <c r="K208" i="48"/>
  <c r="K109" i="48"/>
  <c r="K220" i="48"/>
  <c r="K243" i="48"/>
  <c r="E35" i="48"/>
  <c r="I30" i="48"/>
  <c r="I124" i="48"/>
  <c r="H7" i="126"/>
  <c r="E41" i="104"/>
  <c r="E40" i="104"/>
  <c r="F53" i="104" s="1"/>
  <c r="P10" i="111"/>
  <c r="I9" i="78" s="1"/>
  <c r="G50" i="104"/>
  <c r="G51" i="104"/>
  <c r="G40" i="104"/>
  <c r="E26" i="49"/>
  <c r="H47" i="84"/>
  <c r="H40" i="104" l="1"/>
  <c r="H28" i="104"/>
  <c r="G28" i="104"/>
  <c r="K36" i="78"/>
  <c r="F27" i="104"/>
  <c r="E9" i="49"/>
  <c r="E10" i="49" s="1"/>
  <c r="J37" i="79"/>
  <c r="R28" i="124"/>
  <c r="R13" i="124"/>
  <c r="P13" i="124"/>
  <c r="H36" i="79" s="1"/>
  <c r="D9" i="122"/>
  <c r="N19" i="121"/>
  <c r="T12" i="121"/>
  <c r="R12" i="121"/>
  <c r="P14" i="126"/>
  <c r="T33" i="119"/>
  <c r="R12" i="119"/>
  <c r="R19" i="119" s="1"/>
  <c r="P12" i="119"/>
  <c r="H24" i="79"/>
  <c r="J21" i="79"/>
  <c r="L17" i="79"/>
  <c r="L21" i="79" s="1"/>
  <c r="N11" i="118"/>
  <c r="P8" i="118"/>
  <c r="H9" i="79"/>
  <c r="H8" i="126"/>
  <c r="L8" i="126" s="1"/>
  <c r="G11" i="104"/>
  <c r="H11" i="104"/>
  <c r="E20" i="77"/>
  <c r="E10" i="104"/>
  <c r="G20" i="77"/>
  <c r="G26" i="77" s="1"/>
  <c r="F10" i="104"/>
  <c r="I13" i="38"/>
  <c r="E13" i="77" s="1"/>
  <c r="E7" i="104" s="1"/>
  <c r="G23" i="104"/>
  <c r="M10" i="49"/>
  <c r="E11" i="77" s="1"/>
  <c r="M9" i="49"/>
  <c r="L42" i="118"/>
  <c r="P42" i="118" s="1"/>
  <c r="F14" i="104"/>
  <c r="F19" i="104" s="1"/>
  <c r="G47" i="104" s="1"/>
  <c r="I35" i="48"/>
  <c r="E15" i="48"/>
  <c r="H14" i="126"/>
  <c r="L7" i="126"/>
  <c r="L14" i="126" s="1"/>
  <c r="E43" i="104"/>
  <c r="G41" i="104"/>
  <c r="H41" i="104"/>
  <c r="F52" i="104"/>
  <c r="K27" i="78"/>
  <c r="K28" i="78" s="1"/>
  <c r="F25" i="104"/>
  <c r="G25" i="104" s="1"/>
  <c r="E27" i="104" l="1"/>
  <c r="H27" i="104" s="1"/>
  <c r="K37" i="78"/>
  <c r="K16" i="106" s="1"/>
  <c r="N16" i="106" s="1"/>
  <c r="G7" i="104"/>
  <c r="H7" i="104"/>
  <c r="F12" i="104"/>
  <c r="H10" i="104"/>
  <c r="E12" i="104"/>
  <c r="G12" i="104" s="1"/>
  <c r="G10" i="104"/>
  <c r="E26" i="104"/>
  <c r="G27" i="78"/>
  <c r="G28" i="78" s="1"/>
  <c r="G37" i="78" s="1"/>
  <c r="H12" i="79"/>
  <c r="H22" i="79" s="1"/>
  <c r="P11" i="118"/>
  <c r="R8" i="118"/>
  <c r="L24" i="79"/>
  <c r="P19" i="119"/>
  <c r="T19" i="119" s="1"/>
  <c r="T12" i="119"/>
  <c r="T19" i="121"/>
  <c r="H30" i="79"/>
  <c r="R19" i="121"/>
  <c r="D16" i="122"/>
  <c r="T16" i="122" s="1"/>
  <c r="R40" i="120" s="1"/>
  <c r="T9" i="122"/>
  <c r="H37" i="79"/>
  <c r="L37" i="79" s="1"/>
  <c r="J36" i="79"/>
  <c r="E15" i="77"/>
  <c r="E26" i="77" s="1"/>
  <c r="E5" i="104"/>
  <c r="G27" i="104"/>
  <c r="F24" i="104"/>
  <c r="G46" i="104"/>
  <c r="I15" i="48"/>
  <c r="I22" i="48" s="1"/>
  <c r="I9" i="48" s="1"/>
  <c r="I10" i="48" s="1"/>
  <c r="M10" i="77" s="1"/>
  <c r="E22" i="48"/>
  <c r="E9" i="48" s="1"/>
  <c r="E10" i="48" s="1"/>
  <c r="G43" i="104"/>
  <c r="H43" i="104"/>
  <c r="F29" i="104"/>
  <c r="H25" i="104"/>
  <c r="G52" i="104"/>
  <c r="K19" i="106" l="1"/>
  <c r="O17" i="106" s="1"/>
  <c r="G16" i="106"/>
  <c r="G19" i="106" s="1"/>
  <c r="G20" i="106" s="1"/>
  <c r="J38" i="79"/>
  <c r="L36" i="79"/>
  <c r="L30" i="79"/>
  <c r="H32" i="79"/>
  <c r="H34" i="79" s="1"/>
  <c r="L32" i="79"/>
  <c r="R11" i="118"/>
  <c r="T8" i="118"/>
  <c r="T11" i="118" s="1"/>
  <c r="J9" i="79"/>
  <c r="G26" i="104"/>
  <c r="H26" i="104"/>
  <c r="E29" i="104"/>
  <c r="H29" i="104" s="1"/>
  <c r="H12" i="104"/>
  <c r="F13" i="104"/>
  <c r="H5" i="104"/>
  <c r="E9" i="104"/>
  <c r="G5" i="104"/>
  <c r="G9" i="104" s="1"/>
  <c r="M15" i="77"/>
  <c r="E14" i="104"/>
  <c r="K20" i="106"/>
  <c r="F32" i="104"/>
  <c r="O24" i="77" l="1"/>
  <c r="O25" i="77" s="1"/>
  <c r="O26" i="77" s="1"/>
  <c r="O31" i="77" s="1"/>
  <c r="M16" i="106"/>
  <c r="G49" i="104"/>
  <c r="G48" i="104"/>
  <c r="E32" i="104"/>
  <c r="E35" i="104" s="1"/>
  <c r="G29" i="104"/>
  <c r="J12" i="79"/>
  <c r="J22" i="79" s="1"/>
  <c r="J34" i="79" s="1"/>
  <c r="J39" i="79" s="1"/>
  <c r="L9" i="79"/>
  <c r="L12" i="79" s="1"/>
  <c r="L22" i="79" s="1"/>
  <c r="L34" i="79" s="1"/>
  <c r="H9" i="104"/>
  <c r="E13" i="104"/>
  <c r="F50" i="104"/>
  <c r="E22" i="77"/>
  <c r="M21" i="77"/>
  <c r="H14" i="104"/>
  <c r="E19" i="104"/>
  <c r="G14" i="104"/>
  <c r="F35" i="104"/>
  <c r="M24" i="77" l="1"/>
  <c r="M25" i="77" s="1"/>
  <c r="M26" i="77" s="1"/>
  <c r="M31" i="77" s="1"/>
  <c r="G32" i="104"/>
  <c r="H32" i="104"/>
  <c r="G35" i="104"/>
  <c r="H13" i="104"/>
  <c r="G13" i="104"/>
  <c r="F49" i="104"/>
  <c r="H19" i="104"/>
  <c r="F47" i="104"/>
  <c r="F46" i="104"/>
  <c r="E24" i="104"/>
  <c r="G19" i="104"/>
  <c r="F36" i="104"/>
  <c r="H35" i="104"/>
  <c r="H24" i="104" l="1"/>
  <c r="F48" i="104"/>
  <c r="G24" i="104"/>
  <c r="E36" i="104"/>
  <c r="H36" i="104" s="1"/>
  <c r="G36" i="104" l="1"/>
  <c r="AI16" i="133" l="1"/>
  <c r="AI20" i="133"/>
  <c r="L30" i="122"/>
</calcChain>
</file>

<file path=xl/sharedStrings.xml><?xml version="1.0" encoding="utf-8"?>
<sst xmlns="http://schemas.openxmlformats.org/spreadsheetml/2006/main" count="2724" uniqueCount="1430">
  <si>
    <t xml:space="preserve">حقوق و مزاياي پرداختني  </t>
  </si>
  <si>
    <t xml:space="preserve">يادداشت </t>
  </si>
  <si>
    <t>شماره حساب</t>
  </si>
  <si>
    <t xml:space="preserve">      عنـــــوان </t>
  </si>
  <si>
    <t xml:space="preserve">شماره صفحه </t>
  </si>
  <si>
    <t>سال</t>
  </si>
  <si>
    <t>ساختمان و مستحدثات</t>
  </si>
  <si>
    <t>اقلام گرانبها</t>
  </si>
  <si>
    <t>دارايي در جريان تكميل</t>
  </si>
  <si>
    <t>نوع تضمین</t>
  </si>
  <si>
    <t>مانده در ابتداي سال</t>
  </si>
  <si>
    <t>ذخيره تامين شده</t>
  </si>
  <si>
    <t>مبلغ دفتری</t>
  </si>
  <si>
    <t>شرح اقلام</t>
  </si>
  <si>
    <t>مانده در ابتدای سال</t>
  </si>
  <si>
    <t>مانده در پایان سال</t>
  </si>
  <si>
    <t>3- موجودي نقد</t>
  </si>
  <si>
    <t>نام بانك / موسسه مالي و شعبه</t>
  </si>
  <si>
    <t>ریالی</t>
  </si>
  <si>
    <t>ارزی</t>
  </si>
  <si>
    <t>نفر</t>
  </si>
  <si>
    <t xml:space="preserve">1-1- تاریخچه </t>
  </si>
  <si>
    <t xml:space="preserve">1-2- فعاليـت اصلـي </t>
  </si>
  <si>
    <t xml:space="preserve">1-3- تعداد کارکنان   </t>
  </si>
  <si>
    <t>جمع</t>
  </si>
  <si>
    <t>ذخیره مطالبات مشکوک الوصول</t>
  </si>
  <si>
    <t>خالص</t>
  </si>
  <si>
    <t>موجودی ملزومات</t>
  </si>
  <si>
    <t>موجودی مواد</t>
  </si>
  <si>
    <t>موجودی کالا</t>
  </si>
  <si>
    <t>سایر موجودی‎ها</t>
  </si>
  <si>
    <t>بهای تمام شده</t>
  </si>
  <si>
    <t>ذخیره کاهش ارزش</t>
  </si>
  <si>
    <t xml:space="preserve">يـادداشت‎هـاي تـوضيحـي صــورت‎هــاي مــالــي </t>
  </si>
  <si>
    <t>وسایل نقلیه زمینی و زیرزمینی</t>
  </si>
  <si>
    <t>ماشین آلات و تجهیزات</t>
  </si>
  <si>
    <t>زمین</t>
  </si>
  <si>
    <t>تاسیسات</t>
  </si>
  <si>
    <t>سدها</t>
  </si>
  <si>
    <t>پیش‎پرداخت بابت عملیات سرمایه‎ای</t>
  </si>
  <si>
    <t>بهای تمام شده یا مبلغ تجدید ارزیابی</t>
  </si>
  <si>
    <t>افزایش</t>
  </si>
  <si>
    <t>فروخته شده</t>
  </si>
  <si>
    <t>-</t>
  </si>
  <si>
    <t>نرم افزار رایانه‎ای</t>
  </si>
  <si>
    <t>سرقفلی</t>
  </si>
  <si>
    <t>بانک‎های اطلاعاتی</t>
  </si>
  <si>
    <t>حق تالیف و اختراع</t>
  </si>
  <si>
    <t>حق امتیاز و فرانشیز</t>
  </si>
  <si>
    <t>سایر دارایی‎های نامشهود</t>
  </si>
  <si>
    <t>دارایی‎های نامشهود در جریان ایجاد</t>
  </si>
  <si>
    <t>سایر</t>
  </si>
  <si>
    <t xml:space="preserve">حساب‎ها و اسناد پرداختني     </t>
  </si>
  <si>
    <t>سپرده‎های پرداختنی</t>
  </si>
  <si>
    <t>مالیات و عوارض ارزش افزوده فروش کالا و خدمات</t>
  </si>
  <si>
    <t>درآمد حاصل از مالکیت دولت</t>
  </si>
  <si>
    <t>سایر درآمدها</t>
  </si>
  <si>
    <t>تخفیفات و بخشودگی</t>
  </si>
  <si>
    <t>درآمد اختصاصی</t>
  </si>
  <si>
    <t>درآمد حاصل از خدمات</t>
  </si>
  <si>
    <t>درآمد حاصل از اجاره</t>
  </si>
  <si>
    <t>سود حاصل از واگذاری دارایی‎ها</t>
  </si>
  <si>
    <t>مانده ابتدای سال</t>
  </si>
  <si>
    <t>مانده پایان سال</t>
  </si>
  <si>
    <t>روش مورد استفاده</t>
  </si>
  <si>
    <t>بانک غیرقابل برداشت</t>
  </si>
  <si>
    <t>شرح</t>
  </si>
  <si>
    <t>نرخ استهلاک</t>
  </si>
  <si>
    <t>روش استهلاک</t>
  </si>
  <si>
    <t>نوع دارايى</t>
  </si>
  <si>
    <t>میلیون ریال</t>
  </si>
  <si>
    <t>خرید</t>
  </si>
  <si>
    <t>دریافتی</t>
  </si>
  <si>
    <t>هدایا و کمک ها</t>
  </si>
  <si>
    <t>انتقالی</t>
  </si>
  <si>
    <t>واگذار شده (کاهش)</t>
  </si>
  <si>
    <t>سپرده حسن انجام کار</t>
  </si>
  <si>
    <t>ذخیره مزایای پایان خدمت کارکنان</t>
  </si>
  <si>
    <t>ذخیره مرخصی استفاده نشده کارکنان</t>
  </si>
  <si>
    <t>سپرده شرکت در مزایده</t>
  </si>
  <si>
    <t>سپرده شرکت در مناقصه</t>
  </si>
  <si>
    <t>مبلغ</t>
  </si>
  <si>
    <t>دعاوی حقوقی مطرح علیه سازمان</t>
  </si>
  <si>
    <t>حقوق و دستمزد</t>
  </si>
  <si>
    <t>ماموریت داخلی و خارجی</t>
  </si>
  <si>
    <t>حق الزحمه انجام خدمات قراردادی</t>
  </si>
  <si>
    <t>حمل و نقل و ارتباطات</t>
  </si>
  <si>
    <t>نگهداری و تعمیر دارایی های ثابت</t>
  </si>
  <si>
    <t>نگهداری و تعمیر وسائل اداری</t>
  </si>
  <si>
    <t>چاپ و خرید نشریات و مطبوعات</t>
  </si>
  <si>
    <t>تصویر برداری و تبلیغات</t>
  </si>
  <si>
    <t>تشریفات</t>
  </si>
  <si>
    <t>هزینه های قضایی، ثبتی و حقوقی</t>
  </si>
  <si>
    <t>هزینه های بانکی</t>
  </si>
  <si>
    <t>آب و برق و سوخت</t>
  </si>
  <si>
    <t>مواد و لوازم مصرف شدنی</t>
  </si>
  <si>
    <t>هزینه های مطالعاتی و تحقیقاتی</t>
  </si>
  <si>
    <t>کمک بلاعوض به بخش غیر دولتی</t>
  </si>
  <si>
    <t>بیمه و بازنشستگی</t>
  </si>
  <si>
    <t>کمک های رفاهی کارمندان دولت</t>
  </si>
  <si>
    <t>کمک های رفاهی دانش آموزان و دانشجویان</t>
  </si>
  <si>
    <t>کمک های رفاهی بازنشستگان</t>
  </si>
  <si>
    <t xml:space="preserve">میلیون ریال </t>
  </si>
  <si>
    <t>میلیون ريال</t>
  </si>
  <si>
    <t xml:space="preserve"> میلیون ريال</t>
  </si>
  <si>
    <t>بانك قابل برداشت</t>
  </si>
  <si>
    <t xml:space="preserve"> حصه جاری تسهیلات مالی دریافتی بلندمدت</t>
  </si>
  <si>
    <t>تسهیلات مالی دریافتی بلندمدت</t>
  </si>
  <si>
    <t>استفاده از کالاها و خدمات</t>
  </si>
  <si>
    <t>کمک های بلاعوض</t>
  </si>
  <si>
    <t>استفاده از موجودی انبار</t>
  </si>
  <si>
    <t>سایر دارایی های تولید نشده</t>
  </si>
  <si>
    <t>درآمدهای حاصل از مالکیت دولت</t>
  </si>
  <si>
    <t>درآمدهای حاصل از جرایم و خسارات</t>
  </si>
  <si>
    <t>درآمدهای متفرقه</t>
  </si>
  <si>
    <t>دارایی‎ها</t>
  </si>
  <si>
    <t>یادداشت</t>
  </si>
  <si>
    <t>بدهی‎ها و ارزش خالص</t>
  </si>
  <si>
    <t>دارایی‎های جاری</t>
  </si>
  <si>
    <t>بدهی‎های جاری</t>
  </si>
  <si>
    <t>موجودی نقد</t>
  </si>
  <si>
    <t>کمک‎های بلاعوض دریافتی</t>
  </si>
  <si>
    <t>تعديلات سنواتي</t>
  </si>
  <si>
    <t>پیش‎دریافت‎ها</t>
  </si>
  <si>
    <t>پیش‎پرداخت‎ها</t>
  </si>
  <si>
    <t>جمع بدهی‎های جاری</t>
  </si>
  <si>
    <t>جمع دارایی‎های جاری</t>
  </si>
  <si>
    <t>بدهی‎های غیرجاری</t>
  </si>
  <si>
    <t>جبران خدمت کارکنان</t>
  </si>
  <si>
    <t>دارایی‎های غیرجاری</t>
  </si>
  <si>
    <t>دارایی‎های ثابت مشهود</t>
  </si>
  <si>
    <t>دارایی‎های نامشهود</t>
  </si>
  <si>
    <t>سایر بدهی‎های غیرجاری</t>
  </si>
  <si>
    <t>جمع بدهی‎های غیرجاری</t>
  </si>
  <si>
    <t>كمك‌هاي بلاعوض</t>
  </si>
  <si>
    <t>ارزش خالص</t>
  </si>
  <si>
    <t>رفاه اجتماعي</t>
  </si>
  <si>
    <t>جمع دارایی‎های غیرجاری</t>
  </si>
  <si>
    <t>ساير هزينه‌ها</t>
  </si>
  <si>
    <t>جمع دارایی‎ها</t>
  </si>
  <si>
    <t>جمع بدهی‎ها و ارزش خالص</t>
  </si>
  <si>
    <t>وجوه ارسالی به خزانه</t>
  </si>
  <si>
    <t>صورت وضعیت مالی</t>
  </si>
  <si>
    <t>صورت تغییرات در وضعیت مالی</t>
  </si>
  <si>
    <t>مازاد تجديد ارزيابي</t>
  </si>
  <si>
    <t>نوع حساب</t>
  </si>
  <si>
    <t>سرمایه‎ای</t>
  </si>
  <si>
    <t>ث) يادداشت‎هاي توضيحی:</t>
  </si>
  <si>
    <t>ت) صورت مقایسه بودجه و عملکرد</t>
  </si>
  <si>
    <t>ب) صورت تغييرات در وضعيت مالي</t>
  </si>
  <si>
    <t>الف) صورت وضعيت مالي</t>
  </si>
  <si>
    <t>هدایا و کمک‎ها</t>
  </si>
  <si>
    <t>افزایش (کاهش) ناشی از تجدید در ارزیابی</t>
  </si>
  <si>
    <t>صورت مقایسه بودجه و عملکرد</t>
  </si>
  <si>
    <t>اولیه</t>
  </si>
  <si>
    <t>نهایی</t>
  </si>
  <si>
    <t>عملکرد بر مبنای قابل مقایسه</t>
  </si>
  <si>
    <t>تفاوت بودجه نهایی و عملکرد</t>
  </si>
  <si>
    <t>بودجه</t>
  </si>
  <si>
    <t>جمع منابع</t>
  </si>
  <si>
    <t>تملک دارایی‎های سرمایه‌ای</t>
  </si>
  <si>
    <t>جمع مصارف</t>
  </si>
  <si>
    <t>هزینه استهلاک وسایل نقلیه زمینی و زیرزمینی</t>
  </si>
  <si>
    <t>هزینه استهلاک ماشین آلات و تجهیزات</t>
  </si>
  <si>
    <t>هزینه استهلاک ساختمان و مستحدثات</t>
  </si>
  <si>
    <t xml:space="preserve">صــورت‎هــاي مــالــي </t>
  </si>
  <si>
    <t xml:space="preserve">       تاريخچه و فعاليت</t>
  </si>
  <si>
    <t xml:space="preserve">       يادداشت‎هاي مربوط به اقلام مندرج در صورت‎هاي مالي و ساير اطلاعات مالي </t>
  </si>
  <si>
    <t>مصرف سرمايه‌هاي ثابت (استهلاک)</t>
  </si>
  <si>
    <t>هزینه‎ای</t>
  </si>
  <si>
    <t>کاهش</t>
  </si>
  <si>
    <t>رفاه اجتماعی</t>
  </si>
  <si>
    <t>ضمانت نامه بانکی</t>
  </si>
  <si>
    <t>ذخیره مطالبات مشکوک الوصول بر اساس تجزیه و تحلیل سنی مطالبات برآورد و محاسبه شده است.</t>
  </si>
  <si>
    <t>مخارج تامین مالی در دوره وقوع به عنوان هزینه شناسایی می‎شود به استثنای مخارجی که مستقیما قابل انتساب به تحصیل، ساخت یا تولید یک "دارایی واجد شرایط" است.</t>
  </si>
  <si>
    <t>هزینه استهلاک اثاثه و منصوبات</t>
  </si>
  <si>
    <t>بودجه نهایی</t>
  </si>
  <si>
    <t>تعدیلات</t>
  </si>
  <si>
    <t>سفته</t>
  </si>
  <si>
    <t>وثیقه ملکی</t>
  </si>
  <si>
    <t>بدون سود و کارمزد</t>
  </si>
  <si>
    <t>10 تا 15 درصد</t>
  </si>
  <si>
    <t>‌سود و كارمزد‌ سال‌هاى آتی</t>
  </si>
  <si>
    <t>ساير اشخاص</t>
  </si>
  <si>
    <t xml:space="preserve">اشخاص ‌وابسته </t>
  </si>
  <si>
    <t xml:space="preserve">بانك‌ها </t>
  </si>
  <si>
    <t>حصه بلندمدت</t>
  </si>
  <si>
    <t>حصه جاری</t>
  </si>
  <si>
    <t>صورت‎های مالی این واحد بر مبنای حسابداری تعهدی و بهای تمام شده تاریخی تهیه و در موارد زیر از ارزش‎های جاری استفاده شده است:</t>
  </si>
  <si>
    <t>کنترل قراردادها</t>
  </si>
  <si>
    <t>بیش از 25 درصد</t>
  </si>
  <si>
    <t>20 تا 25 درصد</t>
  </si>
  <si>
    <t>15 تا 20 درصد</t>
  </si>
  <si>
    <t>سود و کارمزد وام‎ها و تسهیلات بانکی و اوراق بهادار</t>
  </si>
  <si>
    <t xml:space="preserve">با سلام و احترام </t>
  </si>
  <si>
    <t>ارزش خالص انباشته ابتدای سال</t>
  </si>
  <si>
    <t>درآمدها:</t>
  </si>
  <si>
    <t>هزینه‎ها:</t>
  </si>
  <si>
    <t>منابع:</t>
  </si>
  <si>
    <t>مصارف:</t>
  </si>
  <si>
    <t>نام و نام خانوادگی</t>
  </si>
  <si>
    <t>سمت</t>
  </si>
  <si>
    <t>امضا</t>
  </si>
  <si>
    <t>رئیس دانشگاه</t>
  </si>
  <si>
    <t>مدیر امور مالی  دانشگاه</t>
  </si>
  <si>
    <t>(تجدید ارائه شده)</t>
  </si>
  <si>
    <t>3-1</t>
  </si>
  <si>
    <t>3-2</t>
  </si>
  <si>
    <t>اقلام سرمایه‌ای در انبار</t>
  </si>
  <si>
    <t>موسسات تابعه وزارت بهداشت</t>
  </si>
  <si>
    <t>بدهکاران اشخاص</t>
  </si>
  <si>
    <t>بدهکاران بيماران نيازمند و صعب العلاج</t>
  </si>
  <si>
    <t xml:space="preserve">سازمان تامین اجتماعی </t>
  </si>
  <si>
    <t>موجودي مواد غذائي</t>
  </si>
  <si>
    <t>موجودي دارو</t>
  </si>
  <si>
    <t>موجودي لوازم و قطعات پزشکي</t>
  </si>
  <si>
    <t>موجودي قطعات و لوازم يدکي</t>
  </si>
  <si>
    <t>موجودي لوازم ساختماني</t>
  </si>
  <si>
    <t>7-1</t>
  </si>
  <si>
    <t>1- تاریخچه و فعالیت</t>
  </si>
  <si>
    <t>2-1- مبنای تهیه صورت‎های مالی</t>
  </si>
  <si>
    <t xml:space="preserve">2-2- مبنای حسابداری تهیه بودجه </t>
  </si>
  <si>
    <t>2-4- دارایی‎های ثابت مشهود</t>
  </si>
  <si>
    <t>2-4-1- دارایی‎های ثابت مشهود، به استثنای موارد مندرج در یادداشت‎های 2-4-2 تا 4-4-2، بر مبنای بهای تمام شده اندازه‎گیری می‎شود. دارایی‎های ثابت مشهودی که از طریق عملیات غیرمبادله‎ای تحصیل شده است، به ارزش منصفانه در تاریخ تحصیل اندازه‎گیری می‎گردد. مخارج بعدی مرتبط با دارایی‎های ثابت مشهود که موجب بهبود وضعیت دارایی در مقایسه با استاندارد عملکرد ارزیابی شده اولیه آن گردد و شواهد کافی مبنی بر وقوع جریان منافع اقتصادی آتی یا خدمات بالقوه ناشی از این مخارج به درون واحد وجود داشته باشد، به مبلغ دفتری دارایی اضافه می‎شود. مخارج روزمره تعمیر و نگهداری دارایی‎های ثابت مشهود که به منظور حفظ وضعیت دارایی در مقایسه با استاندارد عملکرد ارزیابی شده اولیه آن انجام می‎شود، معمولا در زمان وقوع به عنوان هزینه شناسایی می‎گردد.</t>
  </si>
  <si>
    <t>2-5- دارایی‎های نامشهود</t>
  </si>
  <si>
    <t>2-5-1- دارایی‎های نامشهود، به استثنای یادداشت 2-5-2، به بهای تمام شده اندازه‎گیری می‎شود. مخارج معرفی یک محصول یا خدمت جدید مانند مخارج تبلیغات، مخارج انجام عملیات در یک محل جدید یا با یک گروه جدید از مشتریان مانند مخارج آموزش کارکنان، و مخارج اداری، عمومی و فروش در بهای تمام شده دارایی‎های نامشهود منظور نمی‎شود. شناسایی مخارج در مبلغ دفتری یک دارایی نامشهود، هنگامی که دارایی آماده بهره‎برداری شد، متوقف می‎شود. بنابراین مخارج تحمل شده برای استفاده یا بکارگیری مجدد یک دارایی نامشهود، در مبلغ دفتری آن منظور نمی‎شود.</t>
  </si>
  <si>
    <t>2-6- مازاد تجدید ارزیابی دارایی‎ها</t>
  </si>
  <si>
    <t>2-6-3- مازاد تجدید ارزیابی شده در سرفصل ارزش خالص، در زمان برکناری دایمی یا واگذاری دارایی مربوط یا متناسب با استفاده از آن توسط این واحد مستقیما در گردش حساب ارزش خالص منظور شود. مبلغ مازاد قابل انتقال معادل تفاوت بین استهلاک مبتنی بر تجدید ارزیابی و استهلاک مبتنی بر یهای تمام شده تاریخی آن است.</t>
  </si>
  <si>
    <t>2-7- زیان کاهش ارزش دارایی‎های غیرجاری</t>
  </si>
  <si>
    <t>2-8- ذخیره مزایای پایان خدمت کارکنان</t>
  </si>
  <si>
    <t>2-9- ذخیره مرخصی استفاده نشده کارکنان</t>
  </si>
  <si>
    <t>2-10- درآمد حاصل از عملیات غیرمبادله‎ای</t>
  </si>
  <si>
    <t>2-10-1- درآمد حاصل از عملیات غیرمبادله‎ای به میزان افزایش در خالص دارایی‎های شناسایی شده اندازه‎گیری می‎شود.</t>
  </si>
  <si>
    <t>2-10-2- در مواردی که جریان ورودی منابع حاصل از عملیات غیرمبادله‎ای همراه با شناسایی بدهی است، متناسب با ایفای تعهدات مربوط، مبلغ دفتری بدهی کاهش و معادل آن درآمد شناسایی می‎گردد.</t>
  </si>
  <si>
    <t>2-11- درآمد حاصل از عملیات مبادله‎ای</t>
  </si>
  <si>
    <t>2-11-1- درآمد حاصل از عملیات مبادله‎ای به ارزش منصفانه مابه ازای دریافتی یا دریافتنی اندازه‎گیری می‎شود.</t>
  </si>
  <si>
    <t>2-11-3- درآمد حاصل از فروش، در زمان تحویل کالا به مشتری شناسایی می‎شود.*</t>
  </si>
  <si>
    <t>2-12- ذخیره مطالبات مشکوک الوصول</t>
  </si>
  <si>
    <t>2-13- مخارج تامین مالی</t>
  </si>
  <si>
    <t>2-14- تسعیر ارز</t>
  </si>
  <si>
    <t>سازمان بیمه سلامت</t>
  </si>
  <si>
    <t>سازمان بیمه نیروهای مسلح</t>
  </si>
  <si>
    <t>حق الزحمه پزشکي</t>
  </si>
  <si>
    <t>حق الزحمه خدمات اشخاص حقوقي (قراردادها)</t>
  </si>
  <si>
    <t>حق الزحمه طرح پزشک خانواده و بيمه روستايي</t>
  </si>
  <si>
    <t>کارانه پزشکان</t>
  </si>
  <si>
    <t>کارانه کارکنان</t>
  </si>
  <si>
    <t>قرارداد اياب و ذهاب کارکنان</t>
  </si>
  <si>
    <t>قرارداد اياب و ذهاب دانشجويي</t>
  </si>
  <si>
    <t>قرارداد کرايه وسائط نقليه</t>
  </si>
  <si>
    <t>قرارداد تعمير و نگهداري تاسيسات</t>
  </si>
  <si>
    <t>قرارداد تهيه، طبخ و توزيع غذا</t>
  </si>
  <si>
    <t>حق الزحمه ماندگاري پزشک در مناطق محروم</t>
  </si>
  <si>
    <t>حق الزحمه مقيمي پزشکان متخصص</t>
  </si>
  <si>
    <t>درآمد بيمارستان‌ها</t>
  </si>
  <si>
    <t>درآمد مراکز بهداشت و شبکه‌هاي شهري</t>
  </si>
  <si>
    <t>درآمد مراکز بهداشت و شبکه‌هاي روستائي</t>
  </si>
  <si>
    <t>درآمد دانشکده‌ها، کلينيک ويژه، موسسات تحقيقاتي</t>
  </si>
  <si>
    <t>درآمد مرکز ستاد، معاونت‌ها و ...</t>
  </si>
  <si>
    <t>2-11-2- درآمد حاصل از ارائه خدمات، در زمان ارائه خدمات شناسایی می‎شود.*</t>
  </si>
  <si>
    <t>کارکنان هيئت علمي رسمي</t>
  </si>
  <si>
    <t>کارکنان هيئت علمي پيماني</t>
  </si>
  <si>
    <t>کارکنان هيئت علمي ضريب k و طرحي</t>
  </si>
  <si>
    <t>کارکنان غيرهيئت علمي رسمي</t>
  </si>
  <si>
    <t>کارکنان غيرهيئت علمي پيماني</t>
  </si>
  <si>
    <t>کارکنان غيرهيئت علمي ضريب k و طرحي</t>
  </si>
  <si>
    <t>کارکنان قراردادی تبصره 4</t>
  </si>
  <si>
    <t>کارکنان قراردادی تبصره 3</t>
  </si>
  <si>
    <t>فوق العاده‌ها و مزایای شغل</t>
  </si>
  <si>
    <t>ترويج زايمان طبيعي (حق الزحمه متخصص زنان و ماما)</t>
  </si>
  <si>
    <t xml:space="preserve">حقوق و مزایای کارکنان شرکتی </t>
  </si>
  <si>
    <t>مطالبات کارکنان بابت حقوق و مزایا</t>
  </si>
  <si>
    <t xml:space="preserve">مطالبات کارکنان بابت عیدی و پاداش </t>
  </si>
  <si>
    <t>مطالبات کارکنان بابت کارانه کارکنان</t>
  </si>
  <si>
    <t>مطالبات کارکنان - سایر</t>
  </si>
  <si>
    <t>فروشندگان دارو</t>
  </si>
  <si>
    <t>فروشندگان ابزار و لوازم مصرفي پزشکي و بهداشتي</t>
  </si>
  <si>
    <t>فروشندگان لوازم رشته هاي پزشکي، درماني و آزمايشگاهي</t>
  </si>
  <si>
    <t>پيمانکاران و فروشندگان خدمات پروژه‌هاي جاري</t>
  </si>
  <si>
    <t>فروشندگان ماشين آلات و ابزار آلات</t>
  </si>
  <si>
    <t xml:space="preserve">پيمانکاران و فروشندگان خدمات پروژه هاي سرمايه‌اي </t>
  </si>
  <si>
    <t>فروشندگان - سایر</t>
  </si>
  <si>
    <t>تاریخ ترازنامه:</t>
  </si>
  <si>
    <t>نام واحد گزارشگر:</t>
  </si>
  <si>
    <t>سال قبل:</t>
  </si>
  <si>
    <t>سال جاری:</t>
  </si>
  <si>
    <t xml:space="preserve">تاریخ صورت تغییرات در وضعیت مالی: </t>
  </si>
  <si>
    <t>تاریخ صورت مقایسه بودجه و عملکرد:</t>
  </si>
  <si>
    <t>تاریخ یادداشت‌های توضیحی صورت‌های مالی:</t>
  </si>
  <si>
    <t>تاریخ صفحه اول:</t>
  </si>
  <si>
    <t>اقلام پولي ارزي با استفاده از نرخ رسمی ارز در تاريخ صورت وضعیت مالی و اقلام غير پولي بر حسب نرخ رسمی ارز در تاريخ انجام معامله يا تاريخ تعيين ارزش منصفانه تسعير می‌شوند. تفاوت‌های ناشی از تسویه یا تسعیر اقلام پولی ارزی حسب مورد به شرح زیر در حساب‌ها منظور می‌شود:
مازاد مابه‌التفاوت ارزش دارايي‌ها يا بدهي‌هاي ارزي، تحت عنوان حساب تفاوت‌های تسعير در صورت گردش حساب تغییرات در ارزش خالص و صورت وضعیت مالی طبقه‌بندی و منعکس می‌شود. کسری مابه‌التفاوت ارزش دارايي‌ها يا بدهي‌هاي ارزي، به عنوان هزينه دوره منظور مي‌شود. به هنگام محاسبات تسعير ارز،  تفاوت‎های تسعیر دوره‎هاي قبل تعديل ‌می‌شود.</t>
  </si>
  <si>
    <t>3-1- موجودي حساب‌هاي «بانك قابل برداشت» به تفصیل زیر است:</t>
  </si>
  <si>
    <t>3-2- موجودي حساب‌هاي «بانك غیرقابل برداشت» به تفصیل زیر است:</t>
  </si>
  <si>
    <t>تعداد</t>
  </si>
  <si>
    <t>(مبالغ به میلیون ریال)</t>
  </si>
  <si>
    <t>اولین صادره از اولین وارده</t>
  </si>
  <si>
    <t>خط مستقیم</t>
  </si>
  <si>
    <t>مطالبات کارکنان بابت کارانه پزشکان</t>
  </si>
  <si>
    <t>تسهیلات مالی دریافتی ارزی بلندمدت</t>
  </si>
  <si>
    <t xml:space="preserve"> حصه جاری تسهیلات مالی دریافتی ارزی بلندمدت</t>
  </si>
  <si>
    <t>مواد غذائي (ويژه کارکنان)</t>
  </si>
  <si>
    <t>کاغذ، مقوا و لوازم التحرير</t>
  </si>
  <si>
    <t>دارو</t>
  </si>
  <si>
    <t>ابزار و لوازم مصرفي پزشکي و آزمايشگاهي ودندانپزشکي و...</t>
  </si>
  <si>
    <t xml:space="preserve"> پوشاک و لباس کارکنان</t>
  </si>
  <si>
    <t>2-3- موجودی‎ مواد و کالا</t>
  </si>
  <si>
    <t>اثاثه و منصوبات</t>
  </si>
  <si>
    <t xml:space="preserve">کارکنان شرکتی </t>
  </si>
  <si>
    <t>کارکنان اعضائ هيئت علمي رسمي</t>
  </si>
  <si>
    <t>کارکنان اعضائ هيئت علمي پيماني</t>
  </si>
  <si>
    <t>کارکنان اعضائ هيئت علمي ضريب k و طرحي</t>
  </si>
  <si>
    <t>کارکنان اعضائ غير هيئت علمي رسمي</t>
  </si>
  <si>
    <t>کارکنان اعضائ غير هيئت علمي پيماني</t>
  </si>
  <si>
    <t>کارکنان قراردادي تطبيق يافته ( تبصره 3)</t>
  </si>
  <si>
    <t>هدایا وکمک‌ها</t>
  </si>
  <si>
    <t>2-9-2- ذخیره مرخصی استفاده نشده کارکنان بر اساس «مبلغ مندرج در حکم» تقسیم بر 30،  ضربدر «تعداد روزهای قابل ذخیره» محاسبه و در حساب‎ها منظور می‎گردد.</t>
  </si>
  <si>
    <t xml:space="preserve">2-9-1- تعداد روزهای قابل ذخیره برای کارکنان هیات علمی 30 روز، کارکنان غیر هیات علمی رسمی،  پیمانی و تبصره 3، 15 روز می‌باشد.
برای کارکنان تبصره 4، 9 روز ذخیره می‌شود ولی همان سال تسویه و مانده آن به ساله بعد منتقل نمی‌شود.
</t>
  </si>
  <si>
    <t>دارایی‌های زیستی مولد</t>
  </si>
  <si>
    <t>وسائل و ادوات دریایی</t>
  </si>
  <si>
    <t>وسائل و ادوات هوایی</t>
  </si>
  <si>
    <t>جاده‌ها</t>
  </si>
  <si>
    <t xml:space="preserve">شبکه های توزیع و انتقال </t>
  </si>
  <si>
    <t>سایر دارایی‌های ثابت مشهود</t>
  </si>
  <si>
    <t>خط مستقیم و نزولی</t>
  </si>
  <si>
    <t>3، 5، 6 و 10 ساله</t>
  </si>
  <si>
    <t>4، 6، 20 ساله</t>
  </si>
  <si>
    <t>4، 6، 8، 10، 12 و 15 ساله و
10، 12 درصد</t>
  </si>
  <si>
    <t>5 ساله</t>
  </si>
  <si>
    <t>15، 25 ساله</t>
  </si>
  <si>
    <t>3، 5، 6 و10 ساله</t>
  </si>
  <si>
    <t>6، 8 و 12 ساله</t>
  </si>
  <si>
    <t xml:space="preserve">8 و 10 ساله </t>
  </si>
  <si>
    <t>10 ساله و 15 و 18 درصد</t>
  </si>
  <si>
    <t>35، 50، 75 و 100 ساله</t>
  </si>
  <si>
    <t>5، 8، 10، 12، 15، 20 و 25 ساله</t>
  </si>
  <si>
    <t>خط مستقیم 
و
 نزولی</t>
  </si>
  <si>
    <t>خط مستقیم
 و 
نزولی</t>
  </si>
  <si>
    <t>اختصاصی</t>
  </si>
  <si>
    <t>سایر اشخاص وابسته</t>
  </si>
  <si>
    <t>نام شخص وابسته</t>
  </si>
  <si>
    <t xml:space="preserve">نوع وابستگی </t>
  </si>
  <si>
    <t xml:space="preserve">تسهیلات پرداختی </t>
  </si>
  <si>
    <t xml:space="preserve">حساب‌ها و اسناد دریافتنی حاصل از عملیات مبادله‌ای </t>
  </si>
  <si>
    <t xml:space="preserve">حساب‌ها و اسناد دریافتنی حاصل از عملیات غیر مبادله‌ای </t>
  </si>
  <si>
    <t>پیش‌پرداخت‌ها</t>
  </si>
  <si>
    <t xml:space="preserve">حساب‌ها و اسناد پرداختنی حاصل از 
غیر مبادله‌ای </t>
  </si>
  <si>
    <t xml:space="preserve">حساب‌ها و اسناد پرداختنی حاصل از 
 مبادله‌ای </t>
  </si>
  <si>
    <t xml:space="preserve">تسهیلات دریافتی </t>
  </si>
  <si>
    <t xml:space="preserve">پیش‌دریافت‌ها </t>
  </si>
  <si>
    <t xml:space="preserve">سود تضمین شده پرداختنی </t>
  </si>
  <si>
    <t>طلب</t>
  </si>
  <si>
    <t>بدهی</t>
  </si>
  <si>
    <t>بیمارستان</t>
  </si>
  <si>
    <t>شبکه بهداشت</t>
  </si>
  <si>
    <t>دانشکده</t>
  </si>
  <si>
    <t>مرکز تحقيقات</t>
  </si>
  <si>
    <t>داروخانه</t>
  </si>
  <si>
    <t>کلينيک‌هاي ويژه</t>
  </si>
  <si>
    <t>مرکز فوريت‌هاي پزشکي</t>
  </si>
  <si>
    <t xml:space="preserve">1-4- تعداد مراکز   </t>
  </si>
  <si>
    <t>معاونت‌ها</t>
  </si>
  <si>
    <t>تضمين‌های دریافتی</t>
  </si>
  <si>
    <t>علی‌الحساب بابت عملیات سرمایه‌ای</t>
  </si>
  <si>
    <t>مصرف سرمایه‌های ثابت ملموس</t>
  </si>
  <si>
    <t>2-3-1- موجودی‎ها به استنثای موارد زیر به اقل بهای تمام شده و خالص ارزش فروش تک تک یا گروه‎های اقلام مشابه اندازه‎گیری می‎شوند. موجودی‎های تحصیل شده از طریق عملیات غیرمبادله‎ای،  به ارزش منصفانه در تاریخ تحصــیل اندازه‎گیری می‎گردند. موجودی‎های نگهداری شده برای توزیع بدون مطالبه بها یا مطـالبه بهای ناچیز یا موجــــودی‎های نگهداری شده جهت مصرف در فرایند تولید کالا جهت توزیع بدون مطالبه بها یا مطالبه بهای ناچیز، بر مبنای اقل بهای تمام شده و ارزش جایگزینی اندازه‎گیری می‎شوند. مبلغ کاهش ارزش موجودی‎ها و کلیه زیان‎های مرتبط با آن‎ها به عنوان هزینه شناسایی می‎شود. بهای تمام شده موجودی‎ها با بکارگیری روش‎های زیر تعیین می‎شود.</t>
  </si>
  <si>
    <t>صفحه</t>
  </si>
  <si>
    <t>عنوان یادداشت توضیحی</t>
  </si>
  <si>
    <t>8</t>
  </si>
  <si>
    <t>9</t>
  </si>
  <si>
    <t>10</t>
  </si>
  <si>
    <t>11</t>
  </si>
  <si>
    <t>15</t>
  </si>
  <si>
    <t>18</t>
  </si>
  <si>
    <t>19</t>
  </si>
  <si>
    <t>41</t>
  </si>
  <si>
    <t>43</t>
  </si>
  <si>
    <t>44</t>
  </si>
  <si>
    <t>دارايي‎هاي ثابت مشهود</t>
  </si>
  <si>
    <t>دارايي‎هاي نامشهود</t>
  </si>
  <si>
    <t>تعدیلات سنواتی</t>
  </si>
  <si>
    <t>تاریخچه و فعالیت
خلاصه اهم رویه‌های حسابداری</t>
  </si>
  <si>
    <t>1
2</t>
  </si>
  <si>
    <t>2</t>
  </si>
  <si>
    <t>3</t>
  </si>
  <si>
    <t>4</t>
  </si>
  <si>
    <t>13</t>
  </si>
  <si>
    <t>17</t>
  </si>
  <si>
    <t xml:space="preserve">سایر هزینه‌های رفاه اجتماعی </t>
  </si>
  <si>
    <t>ساير حساب‌ها و اسناد پرداختني</t>
  </si>
  <si>
    <t>سپرده بيمه پيمانکاران</t>
  </si>
  <si>
    <t>واگذاری دارایی سرمایه‌ای</t>
  </si>
  <si>
    <t>واگذاری دارایی مالی</t>
  </si>
  <si>
    <t>طرح تحول سلامت</t>
  </si>
  <si>
    <t xml:space="preserve">1-3-1- میانگین ماهانه تعداد كاركنان طي سال به شرح زير بوده است: </t>
  </si>
  <si>
    <t>2-6-1- افزایش مبلغ دفتری یک دارایی ثابت مشهود / یک دارایی نامشهود در نتیجه تجدید ارزیابی آن مستقیما تحت عنوان مازاد تجدید ارزیابی ثبت و در صورت وضعیت مالی به عنوان بخشی از ارزش خالص طبقه‎بندی می‎شود و در گردش حساب تغییرات در ارزش خالص انعکاس می‎یابد. هر گاه افزایش مزبور عکس یک کاهش قبلی ناشی از تجدید ارزیابی باشد که به عنوان زیان شناسایی گردیده است، در این صورت، این افزایش تا میزان زیان قبلی شناسایی شده در رابطه با همان دارایی به عنوان درآمد دوره شناسایی می‎شود.</t>
  </si>
  <si>
    <t>2-7-1- مبلغ دفتری یک قلم دارایی ثابت مشهود / یک قلم دارایی نامشهود به طور ادواری بررسی شود. هرگاه کاهشی در ارزش یک دارایی مشاهده شود و بازیافت بخشی از مبلغ دفتری آن غیر ممکن به نظر رسد، مبلغ کاهش به عنوان زیان دوره شناسایی و مبلغ دفتری دارایی از طریق حساب کاهش ارزش انباشته دارایی‎ها به مبلغ بازیافتنی برآوردی کاهش داده می‎شود، مگر آن که کاهش مزبور عکس یک افزایش قبلی ناشی از تجدید ارزیابی باشد، در این صورت این کاهش باید به حساب مازاد تجدید ارزیابی منظور و در گردش حساب ارزش خالص نیز منعکس می‎شود.</t>
  </si>
  <si>
    <t>2-7-2- افزایش بعدی در مبلغ بازیافتنی یک دارایی ثابت مشهود که بر اساس مندرجات یادداشت (1-7-2) به کمتر از بهای تمام شده شناسایی شده است، به شرط آن که شرایط و رویدادهایی که منجر به کاهش یا حذف مبلغ دفتری آن دارایی شده، برطرف گردد و شواهد متقاعدکننده‎ای حاکی از ادامه شرایط و رویدادهای جدید در آینده قابل پیش‎بینی وجود داشته باشد، از طریق برگشت حساب  کاهش ارزش  انباشته شناسایی می‎شود. مبلغ برگشت شده باید به میزان استهلاکی که با فرض عدم وقوع کاهش یا حذف، به عنوان استهلاک شناسایی می‎شد، کاهش داده شود.</t>
  </si>
  <si>
    <t>2-6-2- کاهش مبلغ دفتری یک دارایی ثابت مشهود / یک دارایی نامشهود در نتیجه تجدید ارزیابی آن به عنوان زیان شناسایی می‎شود. هر گاه کاهش مزبور عکس یک افزایش قبلی ناشی از تجدید ارزیابی باشد که به حساب مازاد تجدید ارزیابی منظور شده است، در این صورت، این کاهش تا میزان مازاد تجدید ارزیابی مربوط به همان دارایی به بدهکار حساب مازاد تجدید ارزیابی منظور گردیده و در گردش حساب تغییرات در ارزش خالص انعکاس می‎یابد و باقیمانده به عنوان زیان شناسایی می‎شود.</t>
  </si>
  <si>
    <t>هزینه بازخريد سنوات خدمت کارکنان</t>
  </si>
  <si>
    <t>هزینه بازخريد مرخصي کارکنان</t>
  </si>
  <si>
    <t>هزینه مطالبات مشکوک الوصول</t>
  </si>
  <si>
    <t xml:space="preserve">       اهم رویه‎های حسابداری</t>
  </si>
  <si>
    <t>2- اهم رویه‎های حسابداری</t>
  </si>
  <si>
    <t>2-10-3- درآمد ناشی از انتقالات در زمان احراز معیارهای شناخت دارایی یا بخشودگی بدهی قطعی شده شناسایی می‎شود.</t>
  </si>
  <si>
    <t xml:space="preserve">حصه جاری </t>
  </si>
  <si>
    <t>درآمد حاصل از فروش کالا (دارو)</t>
  </si>
  <si>
    <t>استفاده ازکالاها و خدمات</t>
  </si>
  <si>
    <t>ساير موسسات و شرکت‌ها</t>
  </si>
  <si>
    <t>بدهکاران هزينه‌هاي مصدومين ترافيکي</t>
  </si>
  <si>
    <t>2-8-1- کارکنان هیات علمی
با توجه به ماده 79 آیین نامه استخدامی اعضای هیات علمی، اقلام مشمول ذخیره سنوات پایان خدمت برای کارکنان هیات علمی حقوق و مزایای مشمول کسور می باشد که شامل حقوق مبنا، فوق العاده مخصوص، فوق العاده جذب، فوق العاده ویژه و فوق العاده سختی کار می‌باشد.</t>
  </si>
  <si>
    <r>
      <rPr>
        <sz val="12"/>
        <color rgb="FF000000"/>
        <rFont val="B Zar"/>
        <charset val="178"/>
      </rPr>
      <t>2-8-2-</t>
    </r>
    <r>
      <rPr>
        <b/>
        <sz val="12"/>
        <color rgb="FF000000"/>
        <rFont val="B Zar"/>
        <charset val="178"/>
      </rPr>
      <t xml:space="preserve"> </t>
    </r>
    <r>
      <rPr>
        <sz val="12"/>
        <color rgb="FF000000"/>
        <rFont val="B Zar"/>
        <charset val="178"/>
      </rPr>
      <t>کارکنان رسمی و پیمانی غیر هیات علمی</t>
    </r>
    <r>
      <rPr>
        <b/>
        <sz val="11"/>
        <color rgb="FF000000"/>
        <rFont val="B Zar"/>
        <charset val="178"/>
      </rPr>
      <t xml:space="preserve">
</t>
    </r>
    <r>
      <rPr>
        <sz val="12"/>
        <color rgb="FF000000"/>
        <rFont val="B Zar"/>
        <charset val="178"/>
      </rPr>
      <t>با توجه به ماده 103و 55 آيين نامه استخدامي اعضاي غير هيات علمي اقلام مشمول ذخیره سنوات پایان خدمت برای کارکنان رسمی و پیمانی غیر هیات علمی شامل حق شغل، حق شاغل، حق مدیریت،تفاوت تطبیق، فوق العاده شغل، فوق العاده ایثارگری، سختی کار، فوق العاده جذب وکار در محیط غیر متعارف می باشد.</t>
    </r>
  </si>
  <si>
    <r>
      <rPr>
        <sz val="12"/>
        <color rgb="FF000000"/>
        <rFont val="B Zar"/>
        <charset val="178"/>
      </rPr>
      <t>2-8-3- کارکنان تبصره 3</t>
    </r>
    <r>
      <rPr>
        <sz val="11"/>
        <color rgb="FF000000"/>
        <rFont val="B Zar"/>
        <charset val="178"/>
      </rPr>
      <t xml:space="preserve">
با توجه به ماده 5 دستورالعمل انعقاد قرارداد موضوع تبصره 3 ماده 2 ایین نامه اداری، استخدامی اعضای غیر هیات علمی، </t>
    </r>
    <r>
      <rPr>
        <sz val="12"/>
        <color rgb="FF000000"/>
        <rFont val="B Zar"/>
        <charset val="178"/>
      </rPr>
      <t xml:space="preserve">اقلام مشمول ذخیره سنوات پایان خدمت برای کارکنان تبصره 3 معادل یک ماه از مبلغ مندرج در قرارداد می‌باشند </t>
    </r>
  </si>
  <si>
    <r>
      <rPr>
        <sz val="12"/>
        <color rgb="FF000000"/>
        <rFont val="B Zar"/>
        <charset val="178"/>
      </rPr>
      <t>2-8-4-کارکنان تبصره 4</t>
    </r>
    <r>
      <rPr>
        <b/>
        <sz val="11"/>
        <color rgb="FF000000"/>
        <rFont val="B Zar"/>
        <charset val="178"/>
      </rPr>
      <t xml:space="preserve">
</t>
    </r>
    <r>
      <rPr>
        <sz val="12"/>
        <color rgb="FF000000"/>
        <rFont val="B Zar"/>
        <charset val="178"/>
      </rPr>
      <t>با توجه به  قانون کار، اقلام مشمول ذخیره سنوات پایان خدمت برای کارکنان تبصره 4 و قراردادی معادل «حقوق‌ پایه» به علاوه «فوق العاده جذب»،  «پایه سنواتی» و آن‌ها می‌باشد.</t>
    </r>
  </si>
  <si>
    <t xml:space="preserve">موجودی ملزومات </t>
  </si>
  <si>
    <t>پيش پرداخت طرح‌هاي تحقيقاتي و مطالعاتي</t>
  </si>
  <si>
    <t>16</t>
  </si>
  <si>
    <t>34</t>
  </si>
  <si>
    <t xml:space="preserve">سایر منابع </t>
  </si>
  <si>
    <t xml:space="preserve">کد طبقه بندی: </t>
  </si>
  <si>
    <t>گروه</t>
  </si>
  <si>
    <t>ردیف</t>
  </si>
  <si>
    <t xml:space="preserve">عنوان حساب </t>
  </si>
  <si>
    <t xml:space="preserve">مبلغ </t>
  </si>
  <si>
    <t>درصد</t>
  </si>
  <si>
    <t>دارایی‌های جاری</t>
  </si>
  <si>
    <t>بدهی‌های جاری</t>
  </si>
  <si>
    <t>درآمدها و هزینه‌‌ها</t>
  </si>
  <si>
    <t xml:space="preserve">درآمدها </t>
  </si>
  <si>
    <t>هزینه‎ها</t>
  </si>
  <si>
    <t xml:space="preserve">ارزش خالص </t>
  </si>
  <si>
    <t xml:space="preserve">سایر تغییرات در ارزش خالص </t>
  </si>
  <si>
    <t xml:space="preserve">موجودی دارو و لوازم مصرفي بهداشتي و درماني (جزیی از  ارقام ردیف 5) </t>
  </si>
  <si>
    <t xml:space="preserve">حساب‎ها و اسناد پرداختنی از محل درآمد اختصاصی (جزیی از  ارقام ردیف 14) </t>
  </si>
  <si>
    <t>حقوق و دستمزد (فصل اول هزینه) (جزیی از ارقام ردیف 26)</t>
  </si>
  <si>
    <t xml:space="preserve">آمار نیروی انسانی </t>
  </si>
  <si>
    <t>متوسط حقوق ماهانه کارکنان</t>
  </si>
  <si>
    <t>شاخص</t>
  </si>
  <si>
    <t xml:space="preserve">عنوان شاخص </t>
  </si>
  <si>
    <t xml:space="preserve">تعریف شاخص </t>
  </si>
  <si>
    <t xml:space="preserve">شاخص‌های مالی </t>
  </si>
  <si>
    <t>نسبت جاری (نسبت دارایی‌های جاری به بدهی‌های جاری)</t>
  </si>
  <si>
    <t>این نسبت نشان‌دهنده این است که دارایی‌های جاری تا چه اندازه تسویه بدهی‌های جاری را امکان پذیر می‌سازد. (مطلوب آن است که بین 1 و 2 باشد)</t>
  </si>
  <si>
    <t>نسبت آنی (نسبت دارایی‌های جاری  بجز موجودی کالا و پیش پرداخت‌ها به بدهی‌های جاری)</t>
  </si>
  <si>
    <t>این نسبت نشان‌دهنده این است که آن قسمت از دارایی‌های جاری که از لحاظ نقدشوندگی دارای قدرت بالاتری است، تا چه میزان می‌تواند پشتوانه طلبکاران قرار گیرد (مطلوب آن است که مساوی 1 یا بالاتر باشد).</t>
  </si>
  <si>
    <t>نسبت اهرم مالی (کل بدهی‌ها به کل دارایی‌ها)</t>
  </si>
  <si>
    <t>این نسبت نشان‌دهنده این است که به طور کلی چه مقدار از دارایی‌های دانشگاه به واسطه‌ی بدهی‌های دانشگاه است (هرچه کمتر  بهتر).</t>
  </si>
  <si>
    <t>این نسبت نشان‌دهنده میزان و اثر گردش دارایی‌ها در تحصیل درآمد است و در مقایسه با گذشته، حاکی از این است که آیا افزایش دارایی‌ها با افزایش درآمدها هماهنگی داشته یا خیر (هرچه بیشتر مطلوب تر)</t>
  </si>
  <si>
    <t>این نسبت نشان‌دهنده میزان و اثر گردش دارایی‌های جاری در تحصیل درآمد است و در مقایسه با گذشته حاکی از آن است که آیا دارایی‌های جاری با افزایش درآمد‌ها هماهنگی داشته یا خیر (هرچه بیشتر مطلوب‌تر)</t>
  </si>
  <si>
    <t>این نسبت نشان‌دهنده میزان و اثر گردش دارایی‌های ثابت در تحصیل درآمد است و در مقایسه با گذشته، حاکی از این است که آیا افزایش دارایی‌های ثابت با افزایش درآمدها هماهنگی داشته یا خیر (هرچه بیشتر مطلوب تر)</t>
  </si>
  <si>
    <t>این نسبت نشان می دهد که چه نسبت از درآمدهای مکتسبه ناشی از فعالیت خود مؤسسه می باشد.</t>
  </si>
  <si>
    <t>نسبت بهره‌وری (درآمد اختصاصی به تعداد نیروی انسانی)</t>
  </si>
  <si>
    <t>این نسبت نشان دهنده میزان نسبی کارایی کارکنان هر دانشگاه می‌باشد (هرچه  بیشتر مطلوب تر).</t>
  </si>
  <si>
    <t xml:space="preserve">حساب‎ها و اسناد دریافتنی از محل درآمد اختصاصی(جزیی از  ارقام ردیف2 و 3)  </t>
  </si>
  <si>
    <t>حساب‎ها و اسناد دریافتنی از محل درآمد اختصاصی</t>
  </si>
  <si>
    <t>حساب‎ها و اسناد پرداختنی از محل درآمد اختصاصی</t>
  </si>
  <si>
    <t>(.)</t>
  </si>
  <si>
    <t xml:space="preserve">مبالغ به میلیون ریال </t>
  </si>
  <si>
    <t xml:space="preserve">دریافتی از خزانه از محل درآمد اختصاصی (جزیی از  ارقام ردیف 25) </t>
  </si>
  <si>
    <t>نسبت دارایی در گردش (دریافتی از خزانه از محل درآمد اختصاصی به کل دارایی‌ها)</t>
  </si>
  <si>
    <t>نسبت گردش دارایی‌های جاری (دریافتی از خزانه از محل درآمد اختصاصی به دارایی‌های جاری)</t>
  </si>
  <si>
    <t>نسبت گردش دارایی‌های ثابت (دریافتی از خزانه از محل درآمد اختصاصی به جمع دارایی‌های ثابت مشهود)</t>
  </si>
  <si>
    <t xml:space="preserve">نسبت خود اتکایی (دریافتی از خزانه از محل درآمد اختصاصی به جمع درآمد) </t>
  </si>
  <si>
    <t>خالص تغییر در وضعیت مالی ( جمع ردیف‌ 30)</t>
  </si>
  <si>
    <t>در تاریخ 29 اسفند ماه 1402</t>
  </si>
  <si>
    <t>برای سال مالي منتهي به 29 اسفند ماه 1402</t>
  </si>
  <si>
    <t>سال مالي منتهي به 29 اسفند ماه 1402</t>
  </si>
  <si>
    <t>1402/12/29</t>
  </si>
  <si>
    <t>1401/12/29</t>
  </si>
  <si>
    <t>1401</t>
  </si>
  <si>
    <t>افزایش /  کاهش طی سال 1402</t>
  </si>
  <si>
    <t>سال 1402 (دانشگاه)</t>
  </si>
  <si>
    <t>سال 1401 (دانشگاه)</t>
  </si>
  <si>
    <t>سال 1401 (کشوری)</t>
  </si>
  <si>
    <t>دریافتی ها به نمایندگی از دولت</t>
  </si>
  <si>
    <t>سایر دریافتنی ها</t>
  </si>
  <si>
    <t>پرداختی ها</t>
  </si>
  <si>
    <t>تسهیلات مالی</t>
  </si>
  <si>
    <t>تسهیلات مالی بلند مدت</t>
  </si>
  <si>
    <t>ذخایر بلند مدت</t>
  </si>
  <si>
    <t>جمع بدهی ها</t>
  </si>
  <si>
    <t>مازاد تجدید ارزیابی</t>
  </si>
  <si>
    <t>دریافتی از محل منابع عمومی</t>
  </si>
  <si>
    <t>درآمدهای مالیاتی</t>
  </si>
  <si>
    <t>درآمدهای ناشی از کمک های اجتماعی</t>
  </si>
  <si>
    <t>درآمدهای حاصل از فروش کالا و خدمات</t>
  </si>
  <si>
    <t>جمع هزینه ها</t>
  </si>
  <si>
    <t>خالص درآمد (هزینه)</t>
  </si>
  <si>
    <t>مازاد (کسری) دوره واحد گزارشگر</t>
  </si>
  <si>
    <t>جمع درآمدهای شناسایی شده به نمایندگی از دولت</t>
  </si>
  <si>
    <t>مازاد (کسری) دوره به نمایندگی از دولت</t>
  </si>
  <si>
    <t>مازاد (کسری) دوره</t>
  </si>
  <si>
    <t>پیش پرداخت بابت عملیات سرمایه ای</t>
  </si>
  <si>
    <t>هزینه مالی آتی</t>
  </si>
  <si>
    <t>ذخیره تامین شده</t>
  </si>
  <si>
    <t>وجوه ارسالی بابت درآمد عمومی</t>
  </si>
  <si>
    <t>حصه جاری مزایای پایان خدمت کارکنان</t>
  </si>
  <si>
    <t>جمع ارزش خالص</t>
  </si>
  <si>
    <t>موجودی ها</t>
  </si>
  <si>
    <t>صورت تغییرات در ارزش خالص</t>
  </si>
  <si>
    <t>مازاد تجدید ارزیابی در ابتدای دوره-تعدیل شده</t>
  </si>
  <si>
    <t>خالص تغییرات طی دوره مازاد تجدید ارزیابی</t>
  </si>
  <si>
    <t>مازاد تجدید ارزیابی در پایان دوره</t>
  </si>
  <si>
    <t>تفاوت تسعیر ارز در ابتدای دوره-تعدیل شده</t>
  </si>
  <si>
    <t>خالص تغییرات طی دوره تفاوت تسعیر ارز</t>
  </si>
  <si>
    <t>تفاوت تسعیر ارز در پایان دوره</t>
  </si>
  <si>
    <t>مازاد (کسری) انباشته در ابتدای دوره</t>
  </si>
  <si>
    <t>مازاد (کسری) انباشته در ابتدای دوره-تعدیل شده</t>
  </si>
  <si>
    <t>انتقال از سایر اقلام ارزش خالص</t>
  </si>
  <si>
    <t>مازاد (کسری) انباشته در پایان دوره</t>
  </si>
  <si>
    <t>از محل منابع عمومی</t>
  </si>
  <si>
    <t>اعتبارات هزینه ای</t>
  </si>
  <si>
    <t>اعتبارات تملک دارایی های سرمایه ای</t>
  </si>
  <si>
    <t>از محل منابع اختصاصی</t>
  </si>
  <si>
    <t>درآمدهای حاصل از فروش کالاها و خدمات</t>
  </si>
  <si>
    <t>واگذاری دارایی های سرمایه ای</t>
  </si>
  <si>
    <t>هزینه های اموال و دارایی</t>
  </si>
  <si>
    <t>سایر هزینه ها</t>
  </si>
  <si>
    <t>مازاد منابع بر مصارف</t>
  </si>
  <si>
    <t>وجوه انتقالی</t>
  </si>
  <si>
    <t>وجوه انتقالی سال های قبل</t>
  </si>
  <si>
    <t>مصارف از محل وجوه انتقالی</t>
  </si>
  <si>
    <t>وجوه انتقالی مصرف نشده</t>
  </si>
  <si>
    <t>وجوه مصرف نشده سال جاری</t>
  </si>
  <si>
    <t>وجوه انتقالی به سال آتی</t>
  </si>
  <si>
    <t>حساب‎ها و اسناد دريافتنی حاصل از عملیات مبادله ای</t>
  </si>
  <si>
    <t>مطالبات از خزانه</t>
  </si>
  <si>
    <t>سایر حساب ها و اسناد دریافتنی</t>
  </si>
  <si>
    <t>وجوه سپرده نزد خزانه</t>
  </si>
  <si>
    <t>استهلاک طی دوره</t>
  </si>
  <si>
    <t>کاهش ارزش انباشته</t>
  </si>
  <si>
    <t>استهلاک طی سال</t>
  </si>
  <si>
    <t>حساب ها و اسناد پرداختنی حاصل از عملیات مبادله ای</t>
  </si>
  <si>
    <t>سپرده حسن انجام تعهدات</t>
  </si>
  <si>
    <t xml:space="preserve"> حصه جاری تسهیلات مالی دریافتی</t>
  </si>
  <si>
    <t>5 تا 10 درصد</t>
  </si>
  <si>
    <t>1 تا 5 درصد</t>
  </si>
  <si>
    <t>دریافتی بابت عملیات جاری از محل اعتبارات بودجه ای</t>
  </si>
  <si>
    <t>دریافتی بابت عملیات سرمایه ای از محل اعتبارات بودجه ای</t>
  </si>
  <si>
    <t>دریافتی بابت عملیات جاری</t>
  </si>
  <si>
    <t>دریافتی بابت عملیات جاری از محل اعتبار سال قبل</t>
  </si>
  <si>
    <t>دریافتی از خزانه بابت حقوق و مزایا</t>
  </si>
  <si>
    <t>دریافتی بابت وجوه یارانه</t>
  </si>
  <si>
    <t>دریافتی بابت عملیات سرمایه ای</t>
  </si>
  <si>
    <t>دریافتی بابت عملیات سرمایه ای از محل اعتبار سال قبل</t>
  </si>
  <si>
    <t>سود حاصل از واگذاری دارایی ها</t>
  </si>
  <si>
    <t>برگشت کاهش ارزش دارایی ها</t>
  </si>
  <si>
    <t>هدایای نقدی</t>
  </si>
  <si>
    <t>دارایی های اهدایی</t>
  </si>
  <si>
    <t>موجودی های اهدایی</t>
  </si>
  <si>
    <t>اهدا کننده</t>
  </si>
  <si>
    <t>اجاره و کرایه</t>
  </si>
  <si>
    <t>سایر هزینه های متفرقه</t>
  </si>
  <si>
    <t>دارایی های ثابت مشهود</t>
  </si>
  <si>
    <t>پرداختنی ها</t>
  </si>
  <si>
    <t>خالص تغییرات</t>
  </si>
  <si>
    <t>اصلاح شده</t>
  </si>
  <si>
    <t>حواله ها</t>
  </si>
  <si>
    <t>ابلاغی</t>
  </si>
  <si>
    <t>اعتبار تخصیص یافته</t>
  </si>
  <si>
    <t>دریافتی از محل اعتبارات هزینه</t>
  </si>
  <si>
    <t>دریافتی از محل اعتبارات تملک دارایی های سرمایه ای</t>
  </si>
  <si>
    <t>عملکرد طبق صورت تغییرات در وضعیت مالی</t>
  </si>
  <si>
    <t>تفاوت بودجه اولیه و نهایی</t>
  </si>
  <si>
    <t>تفاوت بودجه نهایی با اعتبار تخصیص یافته</t>
  </si>
  <si>
    <t>اموال و دارایی</t>
  </si>
  <si>
    <t>یارانه</t>
  </si>
  <si>
    <t>مصرف شده</t>
  </si>
  <si>
    <t>پرداخت های غیرقطعی</t>
  </si>
  <si>
    <t>پیش پرداخت</t>
  </si>
  <si>
    <t>علی الحساب</t>
  </si>
  <si>
    <t>واخواهی</t>
  </si>
  <si>
    <t>کسری</t>
  </si>
  <si>
    <t>سایر دارایی های ثابت</t>
  </si>
  <si>
    <t>موجودی</t>
  </si>
  <si>
    <t>از محل پرداخت های غیرقطعی</t>
  </si>
  <si>
    <t>از محل اسناد واخواهی و کسری ابواب جمعی سال های قبل</t>
  </si>
  <si>
    <t>از محل سرمایه گذاری ها</t>
  </si>
  <si>
    <t>حواله انتقالی</t>
  </si>
  <si>
    <t>منابع انتقالی قابل مصرف</t>
  </si>
  <si>
    <t>از سال 1401</t>
  </si>
  <si>
    <t>از سال های قبل از 1401</t>
  </si>
  <si>
    <t>انتقالی از محل اعتبارات هزینه عمومی</t>
  </si>
  <si>
    <t>انتقالی از محل اعتبارات تملک دارایی های سرمایه ای</t>
  </si>
  <si>
    <t>جمع وجوه انتقالی از محل اعتبارات عمومی</t>
  </si>
  <si>
    <t>انتقالی از محل اعتبارات هزینه اختصاصی</t>
  </si>
  <si>
    <t>انتقالی از محل اعتبارات تملک داراییهای سرمایه ای اختصاصی</t>
  </si>
  <si>
    <t>جمع وجوه انتقلی از محل اعتبارات اختصاصی</t>
  </si>
  <si>
    <t xml:space="preserve">کمک های بلاعوض </t>
  </si>
  <si>
    <t>6-1</t>
  </si>
  <si>
    <t>سایر بدهی های جاری</t>
  </si>
  <si>
    <t>سایر منابع دریافتی</t>
  </si>
  <si>
    <t xml:space="preserve">تفاوت عملکرد با بودجه </t>
  </si>
  <si>
    <t>از محل اعتبار انتقالی ابلاغی</t>
  </si>
  <si>
    <t>12</t>
  </si>
  <si>
    <t>دریافتنی ها به نمایندگی از دولت</t>
  </si>
  <si>
    <t>5</t>
  </si>
  <si>
    <t>14</t>
  </si>
  <si>
    <t>پیش دریافت ها</t>
  </si>
  <si>
    <t>موجودی ها-پیش پرداخت ها</t>
  </si>
  <si>
    <t>درآمدهای شناسایی شده از طرف دولت</t>
  </si>
  <si>
    <t>ب) زمین، ساختمان و تاسیسات  بر مبنای روش تجدید ارزیابی (یادداشت ...)</t>
  </si>
  <si>
    <t>الف) هدایا و کمک‎های دریافتی به ارزش منصفانه در تاریخ تحصیل (یادداشت ...)</t>
  </si>
  <si>
    <t xml:space="preserve">2-4-3- زمین، ساختمان و تاسیسات بر مبنای بهای تمام شده تاریخی در حساب‎ها انعکاس یافته است. </t>
  </si>
  <si>
    <t>تسهیلات بلندمدت</t>
  </si>
  <si>
    <t>هزینه رفاه اجتماعی
سایر هزینه ها
مصرف سرمایه های ثابت (هزینه استهلاک)</t>
  </si>
  <si>
    <t xml:space="preserve">فروش کالا و خدمات
جرایم و خسارات
 سایر درآمدها
وجوه ارسالی به خزانه
</t>
  </si>
  <si>
    <t xml:space="preserve"> اصلاح اشتباهات، تغییر در رویه و تغییر  در رویه های حسابداری و تجدید طبقه بندی</t>
  </si>
  <si>
    <t>45-46</t>
  </si>
  <si>
    <t>مقایسه بودجه و عملکرد دریافتی از محل منابع عمومی
دریافتی از محل منابع اختصاصی</t>
  </si>
  <si>
    <t xml:space="preserve"> مصارف هزینه ای</t>
  </si>
  <si>
    <t xml:space="preserve"> تملک دارایی های سرمایه ای</t>
  </si>
  <si>
    <t>53-54</t>
  </si>
  <si>
    <t>وجوه انتقالی از سال های قبل
مصارف از محل وجوه انتقالی</t>
  </si>
  <si>
    <t>صورت تطبیق عملکرد بر مبنای قابل مقایسه مصارف هزینه ای با مبالغ مندرج در صورت تغییرات در وضعیت مالی</t>
  </si>
  <si>
    <t>حساب های انتظامی</t>
  </si>
  <si>
    <t xml:space="preserve"> تعهدات، بدهی‎های احتمالی و دارایی‎های احتمالی</t>
  </si>
  <si>
    <t xml:space="preserve"> معاملات با اشخاص وابسته</t>
  </si>
  <si>
    <t>یادداشت‎های توضیحی جزء جدانشدنی صورت‌های مالی است.</t>
  </si>
  <si>
    <t xml:space="preserve">سایر بدهی ها </t>
  </si>
  <si>
    <t>سایر بدهی‎ها</t>
  </si>
  <si>
    <t xml:space="preserve">هزینه‎های اموال و دارايي ( تامین مالی ) </t>
  </si>
  <si>
    <t xml:space="preserve">درآمدهای مالیاتی </t>
  </si>
  <si>
    <t xml:space="preserve">5، 6، 10، 15 و 20 ساله و
12، 15 و 20 درصد
</t>
  </si>
  <si>
    <t xml:space="preserve">سایر شرکت های بیمه ای طرف قرارداد </t>
  </si>
  <si>
    <t xml:space="preserve"> سازمان‌هاي بيمه‌اي طرف قرارداد ( سهم درمان ) </t>
  </si>
  <si>
    <t xml:space="preserve"> سازمان‌هاي بيمه‌اي طرف قرارداد ( سهم دارو ) </t>
  </si>
  <si>
    <t>مواد و لوازم مصرفي بهداشتي و درماني</t>
  </si>
  <si>
    <t xml:space="preserve">پيش پرداخت خريد مواد و کالا </t>
  </si>
  <si>
    <t xml:space="preserve">استهلاک انباشته </t>
  </si>
  <si>
    <t>( ارقام به میلیون ریال)</t>
  </si>
  <si>
    <t>21-2-1- به تفكيك تأمين‏كنندگان تسهيلات:</t>
  </si>
  <si>
    <t>سود، کارمزد و جرایم معوق</t>
  </si>
  <si>
    <t>1407 و پس از آن</t>
  </si>
  <si>
    <t>انتقال به مازاد ( کسری ) انباشته</t>
  </si>
  <si>
    <t>33- سایر درآمدها</t>
  </si>
  <si>
    <t xml:space="preserve">تخفیفات و بخشودگی </t>
  </si>
  <si>
    <t>33-1- برگشت کاهش ارزش دارایی ها، شامل مبلغ ... میلیون ریال بازیافت هزینه کاهش ارزش موجودی ها و مبلغ ... میلیون ریال برگشت زیان کاهش ارزش دارایی های ثابت مشهود می باشد.</t>
  </si>
  <si>
    <t>کمک بلاعوض به سایر سطوح دولتی</t>
  </si>
  <si>
    <t>درآمدکلينيک ويژه</t>
  </si>
  <si>
    <t>درآمدهای حاصل از فروش کالا ها و خدمات</t>
  </si>
  <si>
    <t xml:space="preserve">مبنای حسابداری تهیه بودجه و صورت‌های مالی متفاوت است. بودجه برمبنای نقدی و صورت‌های مالی بر مبنای تعهدی تهیه شده است. طبقه‌بندی هر دو بر اساس ماهیت می‌باشد. شخصیت گزارشگر بودجه و صــورت‌های مالی یکسان است اما دوره آن‌ها با هم متفاوت است. یک دوره بودجه‌ای شامل سال مالی به‌علاوه دوره متمم است. بر این اساس دوره بودجه‌ای اعتبارات هزینه‌ای منتهی به 31 فروردین 1402 و دوره بودجه‌ای اعتبارات تملک دارایی‌های سرمایه‌ای منتهی به 31 تیر 1402 می‌باشد. </t>
  </si>
  <si>
    <t>تفاوت عملکرد با بودجه نهایی</t>
  </si>
  <si>
    <t>نام واحد</t>
  </si>
  <si>
    <t xml:space="preserve">مانده وجوه نزد بانک منتقله از سال قبل </t>
  </si>
  <si>
    <t>وصولی درآمد دارو(پس از کسر 3%خزانه) بعلاوه اوراق گام و هدفمندسازی بابت طرح دارویار</t>
  </si>
  <si>
    <t>جابجایی از درمانی به دارویی و اعتبار دارویی بین واحدها</t>
  </si>
  <si>
    <t>مبلغ تخصیص اعتبار به واحد در سال 1402</t>
  </si>
  <si>
    <t xml:space="preserve">هزینه کرد واحد </t>
  </si>
  <si>
    <t xml:space="preserve">مانده وجوه نزد بانک </t>
  </si>
  <si>
    <t>دانشگاه علوم پزشکی و خدمات بهداشتی درمانی سمنان</t>
  </si>
  <si>
    <t xml:space="preserve">  به پيوست صورت‎هاي مالي دانشگاه /  دانشکده علوم پزشکی و خدمات بهداشتی درمانی سمنان مربوط به سال مالی منتهي به 29 اسفند ماه 1402 تقديم مي‌شود. اجزاي تشكيل دهنده صورت‎هاي مالي به قرار زير است:‌</t>
  </si>
  <si>
    <t>دکترکامران قدس</t>
  </si>
  <si>
    <t>حامد رحیمیان</t>
  </si>
  <si>
    <t>دکترمحمدحسن تجلی</t>
  </si>
  <si>
    <t>سرپرست معاونت توسعه مدیریت و منابع دانشگاه</t>
  </si>
  <si>
    <t>اعضاي محترم هیئت امنای دانشگاه / دانشکده علوم پزشکی و خدمات بهداشتی درمانی سمنان</t>
  </si>
  <si>
    <t>کارکنان هیئت علمی رسمی</t>
  </si>
  <si>
    <t>2-4-2- دارایی ثابت مشهود تحصیل شده از طریق عملیات غیرمبادله‎ای، به ارزش منصفانه در تاریخ تحصیل اندازه‎گیری می‎گردد.</t>
  </si>
  <si>
    <t>2-4-4- شناسایی اولیه طبقه / طبقات  دارایی‎های ثابت مشهود در تاریخ  1396/12/29 براساس ارزيابي گروه كارشناسي منتخب این واحد انجام و در حساب‎ها انعکاس یافته است.</t>
  </si>
  <si>
    <t>2-5-2- دارایی نامشهود تحصیل شده از طریق عملیات غیرمبادله‎ای، به ارزش منصفانه در تاریخ تحصیل اندازه‎گیری می‎گردد.</t>
  </si>
  <si>
    <t>دانشگاه علوم پزشکی و خدمات بهداشتی درمانی سمنان دارای شناسه ملی 14003064199 واقع در سمنان بلوار بسیج ستاد معاونین دانشگاه علوم پزشکی سمنان  در تاریخ 1367/11/22و طی مجوز جلسه بیست و هشتم گسترش مرکز علوم پزشکی (وزارت علوم) تاسیس و از تاریخ 1367/11/12 زیر نظر دانشگاه علوم پزشکی تهران و از تاریخ 1368/05/09 بنام دانشگاه علوم پزشکی سمنان فعالیت خود را آغاز نموده است.</t>
  </si>
  <si>
    <t>این دانشگاه  موسسه ای غیرانتفاعی و عام المنفعه ، دارای شخصیت حقوقی مستقل و استقلال مالی و اداری و استخدامی است که طبق آئین نامه های خاص مالی معاملاتی، اداری و استخدامی و تشکیلاتی که به تصویب هیات امنا و تائید وزارت  بهداشت ،درمان ،آموزش وپزشکی کشوررسیده است، اداره می گردد. دانشگاه با برخورداری از قطب های علمی ممتاز علاوه بر نقش کلیدی در تامین سلامت جامعه به  تربیت انسان های متعهد، خلاق متخصص، پژوهشگر برای پاسخگویی به نیازهای درمانی و بهداشتی جامعه و اعتلای فرهنگ پیشگیری همت گماشته است.
 منابع مالی دانشگاه شامل اعتبارات هزینه ای ، تملک دارایی سرمایه ای و اختصاصی منظور شده در قوانین بودجه سالانه دولت ووجوه حواله یا ابلاغ شده از سوی وزارت متبوع و دیگر مراجع دولتی، استانی، وجوه حاصل از تسویه مطالبات سنواتی، مانده اعتبارات مصرف نشده سنوات قبل وسایر منابع و هدایا و کمک های مردمی و تسهیلات بانکی می باشد.</t>
  </si>
  <si>
    <t>4101085700192348</t>
  </si>
  <si>
    <t>هدایا و کمک های مردمی</t>
  </si>
  <si>
    <t>4101085741220496</t>
  </si>
  <si>
    <t>بانک رفاه درامدی شعبه 17شهریور</t>
  </si>
  <si>
    <t>2168578001007</t>
  </si>
  <si>
    <t>1402</t>
  </si>
  <si>
    <t>دکتر نوید دانایی</t>
  </si>
  <si>
    <t>دکتر علی اکبرشعبانی</t>
  </si>
  <si>
    <t xml:space="preserve">دکتر پرویز کوخایی </t>
  </si>
  <si>
    <t xml:space="preserve">دکتر حسین نظری </t>
  </si>
  <si>
    <t xml:space="preserve">دکتر علی رشیدی پور </t>
  </si>
  <si>
    <t xml:space="preserve">دکتر پیمان حجازی </t>
  </si>
  <si>
    <t xml:space="preserve">دکتر عابدین وکیلی </t>
  </si>
  <si>
    <t xml:space="preserve">دکتر هادی حسن زاده </t>
  </si>
  <si>
    <t>دکترمنوچهرصفری</t>
  </si>
  <si>
    <t>علیرضاعمادی</t>
  </si>
  <si>
    <t>محمدرضاعسگری</t>
  </si>
  <si>
    <t>علی خالقیان</t>
  </si>
  <si>
    <t>عباسعلی وفایی</t>
  </si>
  <si>
    <t>مرتضی جراحی</t>
  </si>
  <si>
    <t>دکترمرضیه بهمدی</t>
  </si>
  <si>
    <t>ثریا دوست محمدیان</t>
  </si>
  <si>
    <t>آیت رحمانی</t>
  </si>
  <si>
    <t>حمید ابوطالب کدخداییان</t>
  </si>
  <si>
    <t>فهیمه شمسی</t>
  </si>
  <si>
    <t>مصطفی کریمایی</t>
  </si>
  <si>
    <t>محمدعلی تاجیک منصوری</t>
  </si>
  <si>
    <t>رقیه محمدی</t>
  </si>
  <si>
    <t>آنا عبدالشاهی</t>
  </si>
  <si>
    <t>رسول باقری</t>
  </si>
  <si>
    <t>روح الله رستمی</t>
  </si>
  <si>
    <t>محمدرضا عسکری</t>
  </si>
  <si>
    <t>حسین میلادی گرجی</t>
  </si>
  <si>
    <t>مجید فروتن</t>
  </si>
  <si>
    <t>اکرم علیزاده</t>
  </si>
  <si>
    <t>حمید معدنچی</t>
  </si>
  <si>
    <t>محسن سوسن آبادی</t>
  </si>
  <si>
    <t>داود باقر نصر آبادی</t>
  </si>
  <si>
    <t>کتایون صداقت</t>
  </si>
  <si>
    <t>حسین درویش</t>
  </si>
  <si>
    <t>سید ابوالفضل تهی دست</t>
  </si>
  <si>
    <t>هادی طالشی آهنگری</t>
  </si>
  <si>
    <t>حبیب یاری بیگی</t>
  </si>
  <si>
    <t>اعظم آذرگون</t>
  </si>
  <si>
    <t>کبری بهرام پور جویباری</t>
  </si>
  <si>
    <t>مهدی داداشپور</t>
  </si>
  <si>
    <t>دکتر علیرضاخوشدل</t>
  </si>
  <si>
    <t>دکتر حسن بابامحمدی</t>
  </si>
  <si>
    <t>خلیل الله معینیان</t>
  </si>
  <si>
    <t>علی اصغر قدس</t>
  </si>
  <si>
    <t>دکتر محمدحسن تبریزی امجد</t>
  </si>
  <si>
    <t>حمیدرضا ثامنی</t>
  </si>
  <si>
    <t>مهدی شادنوش</t>
  </si>
  <si>
    <t>بهادرباقری</t>
  </si>
  <si>
    <t>فاطمه احسانی</t>
  </si>
  <si>
    <t>امیرسالک فرخی</t>
  </si>
  <si>
    <t>رسول بهارلو</t>
  </si>
  <si>
    <t>عباس پاکدل</t>
  </si>
  <si>
    <t>الهام صفاریه</t>
  </si>
  <si>
    <t>سیروس تقی زاده</t>
  </si>
  <si>
    <t>داریوش حق مراد</t>
  </si>
  <si>
    <t>زهرا احمدی زاده</t>
  </si>
  <si>
    <t>هادی غفاری</t>
  </si>
  <si>
    <t>علی ولی نژادی</t>
  </si>
  <si>
    <t>عباسعلی ابراهیمیان</t>
  </si>
  <si>
    <t>وجیهه تقدیری نوش آبادی</t>
  </si>
  <si>
    <t>سمانه عرب</t>
  </si>
  <si>
    <t>مرجان بهرامی نسب</t>
  </si>
  <si>
    <t>مریم جلیلی صدراباد</t>
  </si>
  <si>
    <t>بهمن یوسفی</t>
  </si>
  <si>
    <t>دکترداریوش پهلوان</t>
  </si>
  <si>
    <t>مریم مخلصین</t>
  </si>
  <si>
    <t>احمد جیدی</t>
  </si>
  <si>
    <t>علی گوهری</t>
  </si>
  <si>
    <t>مژگان رحمانیان</t>
  </si>
  <si>
    <t>سام زربخش</t>
  </si>
  <si>
    <t>مسعوده باباخانیان</t>
  </si>
  <si>
    <t>سایراشخاص(80مورد)</t>
  </si>
  <si>
    <t>0</t>
  </si>
  <si>
    <t>داروپخش ساری</t>
  </si>
  <si>
    <t>دانش افزار طب</t>
  </si>
  <si>
    <t>دشت بهشت اریا</t>
  </si>
  <si>
    <t>سایر پیش پرداخت‌ها و علی الحساب ها</t>
  </si>
  <si>
    <t>پيش پرداخت و علی الحساب بابت عملیات جاری</t>
  </si>
  <si>
    <t>هیات امنای صرفه جویی ارزی</t>
  </si>
  <si>
    <t>هزینه استهلاک تاسیسات</t>
  </si>
  <si>
    <t>هزینه استهلاک  سایر دارایی های مشهود</t>
  </si>
  <si>
    <t>بانک سینا</t>
  </si>
  <si>
    <t>هیات امنای ارزی</t>
  </si>
  <si>
    <t>بانک رفاه</t>
  </si>
  <si>
    <t>سیدمهدی شاهچراغ</t>
  </si>
  <si>
    <t>شرکت آریا رویان طب</t>
  </si>
  <si>
    <t>الیت دارو</t>
  </si>
  <si>
    <t>بیمارستان سینا</t>
  </si>
  <si>
    <t>پادیاب طب</t>
  </si>
  <si>
    <t>پخش البرز</t>
  </si>
  <si>
    <t>پخش رازی قم</t>
  </si>
  <si>
    <t>پخش فردوس</t>
  </si>
  <si>
    <t>توزیع دارو پخش</t>
  </si>
  <si>
    <t>سیناپخش</t>
  </si>
  <si>
    <t>شمس نگار افزار</t>
  </si>
  <si>
    <t>کامیاب طب مداوا</t>
  </si>
  <si>
    <t>مهام تجهیز</t>
  </si>
  <si>
    <t>مهندسی پزشکی تهران جراح نوین</t>
  </si>
  <si>
    <t>مهندسی پزشکی شفیعی</t>
  </si>
  <si>
    <t>پخش هجرت</t>
  </si>
  <si>
    <t>هیات امنا</t>
  </si>
  <si>
    <t>وزارت بهداشت</t>
  </si>
  <si>
    <t>خیرین سلامت</t>
  </si>
  <si>
    <t>ابزار پزشکی اسوه آسیا</t>
  </si>
  <si>
    <t>اقلیم دانش</t>
  </si>
  <si>
    <t>دکتر بنفشه منصوری</t>
  </si>
  <si>
    <t>شرکت دایموند ابزارتجهیز</t>
  </si>
  <si>
    <t>موسسه خیریه بیمارستان کوثر</t>
  </si>
  <si>
    <t>موسسه خیریه بیمارستان ولایت</t>
  </si>
  <si>
    <t>کامپیوتر</t>
  </si>
  <si>
    <t>سایراقلام</t>
  </si>
  <si>
    <t>سایر اقلام</t>
  </si>
  <si>
    <t>آوا طب رها</t>
  </si>
  <si>
    <t>تامین فارمد دارو</t>
  </si>
  <si>
    <t>درمان گسترمیعاد</t>
  </si>
  <si>
    <t>پویندگان راه سعادت</t>
  </si>
  <si>
    <t>تجهیزات پزشکی امید طب</t>
  </si>
  <si>
    <t>شرکت پل ایده آل تجهیز</t>
  </si>
  <si>
    <t>شرکت دانش پژوهش فجر</t>
  </si>
  <si>
    <t>شرکت روم تکن</t>
  </si>
  <si>
    <t>صندوق پژوهش نانو</t>
  </si>
  <si>
    <t>شرکت اسکان بهسازه</t>
  </si>
  <si>
    <t xml:space="preserve">شرکت رفاه کارکنان دانشگاه </t>
  </si>
  <si>
    <t xml:space="preserve">شرکت اسپید شاهد </t>
  </si>
  <si>
    <t>دکتر پی تا بام کویر</t>
  </si>
  <si>
    <t xml:space="preserve">شرکت سپهر ساختار مانا </t>
  </si>
  <si>
    <t xml:space="preserve">رستوران ضامن آهو </t>
  </si>
  <si>
    <t>سمن طب</t>
  </si>
  <si>
    <t>ایوان طارم کویر</t>
  </si>
  <si>
    <t>فولادخمش</t>
  </si>
  <si>
    <t>تیراژه رایانه</t>
  </si>
  <si>
    <t>دانش طب امروز</t>
  </si>
  <si>
    <t>مشاور مهرزا</t>
  </si>
  <si>
    <t>کاظمیران</t>
  </si>
  <si>
    <t>ایمن تاج</t>
  </si>
  <si>
    <t>شرکت توسعه طرح تحقیقاتی فن آوران پارسیان</t>
  </si>
  <si>
    <t>راه پل آسیا</t>
  </si>
  <si>
    <t>تیراژه رایانه تهران</t>
  </si>
  <si>
    <t>اسپیدشاهد</t>
  </si>
  <si>
    <t>نوین آسای قومس</t>
  </si>
  <si>
    <t>کیمیاگران سرزمین رایانه</t>
  </si>
  <si>
    <t>مدیریت دانشگاه شامل ریاست  و معاون توسعه و مدیریت منابع، معاون آموزشی و امور دانشجویی و فرهنگی ، معاون تحقیقات و فناوری ، معاونت درمان ومعاونت بهداشتی می باشد که براساس تشکیلات مصوب محور اصلی کلیه امور، کارکرد و اتخاد تصمیمات مرکز می باشند. 
این دانشگاه با 35 سال قدمت و تجربه و در اختیار داشتن 3 بیمارستان آموزشی و درمانی و با میانگین ضریب اشغال 66.4 درصد و با  3  بیمارستان درمانی  با میانگین اشغال تخت 41 درصد و 8 شبکه بهداشت و درمانی و 5 کلینیک تخصصی و 6 مرکز فوریتهای پیش بیمارستانی با 12 پایگاه شهری و  21  پایگاه جاده ای و یک اورژانس هوایی مسئول ارائه خدمات بهداشت و درمان به  487،800  نفر جمعیت تحت پوشش استان میباشد . این دانشگاه همچنین با 10 دانشکده  شامل پزشکی ، دندانپزشکی ، پرستاری ، توانبخشی ، پیراپزشکی سرخه ، تغذیه و علوم غذایی، بهداشت  دامغان،مدیریت و اطلاع رسانی ،داروسازی و شعبه پردیس بین الملل و  1269 دانشجوی کارشناسی و 82 دانشجوی کاردانی و 190 دانشجوی کارشناسی ارشد و 117 دانشجوی دکتری تخصصی و  1698  دانشجوی دکتری عمومی طی سال مسئولیت آموزش حرفه ای پزشکی و پیراپزشکی را برعهده دارد.</t>
  </si>
  <si>
    <t>انتقال بدهی بازنشستگان طی سال  به مطالبات کارکنان</t>
  </si>
  <si>
    <t>شرکت پخش البرز</t>
  </si>
  <si>
    <t>شرکت پخش رازی</t>
  </si>
  <si>
    <t>شرکت پخش قاسم ایران</t>
  </si>
  <si>
    <t xml:space="preserve">شرکت دارو پخش </t>
  </si>
  <si>
    <t>شرکت پخش هجرت</t>
  </si>
  <si>
    <t>شرکت پخش فردوس</t>
  </si>
  <si>
    <t>شرکت سینا پخش</t>
  </si>
  <si>
    <t>شرکت پیشگامان</t>
  </si>
  <si>
    <t>شرکت بهستان پخش</t>
  </si>
  <si>
    <t>شرکت سهاهلال</t>
  </si>
  <si>
    <t>داروگستر طوبی</t>
  </si>
  <si>
    <t>اکسیردارو</t>
  </si>
  <si>
    <t xml:space="preserve">الیت دارو </t>
  </si>
  <si>
    <t>دایا دارو</t>
  </si>
  <si>
    <t>درون سپار ( فروزش)</t>
  </si>
  <si>
    <t>شرکت ابزار پزشکی اسوه آسیا</t>
  </si>
  <si>
    <t>تجهیزات پزشکی شفیعی</t>
  </si>
  <si>
    <t>لوازم طبی ایران</t>
  </si>
  <si>
    <t>شرکت مهندسی مطلب عارفان</t>
  </si>
  <si>
    <t>جم گستر</t>
  </si>
  <si>
    <t>ایران بهداشت</t>
  </si>
  <si>
    <t>باند و گاز صفا طب</t>
  </si>
  <si>
    <t>تریتا طب جراح</t>
  </si>
  <si>
    <t xml:space="preserve">تجهیزات پزشکی رضا طب </t>
  </si>
  <si>
    <t>سپاهان رازی</t>
  </si>
  <si>
    <t>نسیم همای سلامت</t>
  </si>
  <si>
    <t>کالای پزشکی ناظری</t>
  </si>
  <si>
    <t>درمان قلب آریا</t>
  </si>
  <si>
    <t>تجهیزات پزشکی جهان گستر</t>
  </si>
  <si>
    <t>رئوف شفا</t>
  </si>
  <si>
    <t>تجهیزات پزشکی ایران فارمیس</t>
  </si>
  <si>
    <t>صبا تجهیز</t>
  </si>
  <si>
    <t>مهندسی پزشکی کاردان بهبود</t>
  </si>
  <si>
    <t>شرکت تجهیزات پزشکی پویندگان راه سعادت</t>
  </si>
  <si>
    <t>سوپا</t>
  </si>
  <si>
    <t>صنایع پزشکی طب کیهان</t>
  </si>
  <si>
    <t>تابان تجهیز افراد</t>
  </si>
  <si>
    <t>فن آوری ایرانیان همگام مهر</t>
  </si>
  <si>
    <t>سمنان آزما</t>
  </si>
  <si>
    <t>داهیان پزشکی پیشرو</t>
  </si>
  <si>
    <t>مبتکران پارسیان</t>
  </si>
  <si>
    <t>خدمات طب ابزار آسا</t>
  </si>
  <si>
    <t>جهان گسترش تجارت</t>
  </si>
  <si>
    <t xml:space="preserve">دانا طب </t>
  </si>
  <si>
    <t>دیباتجهیز</t>
  </si>
  <si>
    <t>رسول زاده و شرکا</t>
  </si>
  <si>
    <t>گسترش خدمات کیان</t>
  </si>
  <si>
    <t>ماورای فنون عصر</t>
  </si>
  <si>
    <t>اطهران جراح شرق</t>
  </si>
  <si>
    <t>سپاهان بهبود پارسا</t>
  </si>
  <si>
    <t>سینوهه</t>
  </si>
  <si>
    <t>سها طب ابزار</t>
  </si>
  <si>
    <t>سایر ( 110 قلم)</t>
  </si>
  <si>
    <t xml:space="preserve">شرکت کاسپین پایا طب  </t>
  </si>
  <si>
    <t xml:space="preserve">شرکت سازگر </t>
  </si>
  <si>
    <t xml:space="preserve">ثمر حمد آریا </t>
  </si>
  <si>
    <t xml:space="preserve">شرکت فرسار تجارت </t>
  </si>
  <si>
    <t xml:space="preserve">مهندسی پزشکی طبرستان تجهیز </t>
  </si>
  <si>
    <t xml:space="preserve">هیات امنا صرفه جویی ارزی </t>
  </si>
  <si>
    <t>آویژه طب پارسین</t>
  </si>
  <si>
    <t>ستاره تابان طب</t>
  </si>
  <si>
    <t>روشان طب سپنتا</t>
  </si>
  <si>
    <t>پرتو ابزار پاسارگاد</t>
  </si>
  <si>
    <t>راهبانان سازندگي</t>
  </si>
  <si>
    <t xml:space="preserve">سایر </t>
  </si>
  <si>
    <t>کامپیوتر ولیعصر</t>
  </si>
  <si>
    <t>مبلمان اداری نشاط</t>
  </si>
  <si>
    <t xml:space="preserve">شوفاژ میثم </t>
  </si>
  <si>
    <t>سیستم های حفاظتی و نظارتی</t>
  </si>
  <si>
    <t>نوین در</t>
  </si>
  <si>
    <t>سهند کامپیوتر</t>
  </si>
  <si>
    <t>مبلمان نشاط</t>
  </si>
  <si>
    <t>داژیار</t>
  </si>
  <si>
    <t xml:space="preserve">دریافتی </t>
  </si>
  <si>
    <t xml:space="preserve">شرکت تعاونی رفاه کارکنان </t>
  </si>
  <si>
    <t xml:space="preserve">شرکت پدیده نو </t>
  </si>
  <si>
    <t xml:space="preserve">سازمان انتقال خون </t>
  </si>
  <si>
    <t>شرکت کومش آسای پویا</t>
  </si>
  <si>
    <t>آشپزخانه ضامن آهو</t>
  </si>
  <si>
    <t xml:space="preserve">آزانس همسفر </t>
  </si>
  <si>
    <t xml:space="preserve">شرکت بهین سرد سوزان پویان </t>
  </si>
  <si>
    <t xml:space="preserve">شرکت سمن طب </t>
  </si>
  <si>
    <t xml:space="preserve">نیکوکاران راه آسمان </t>
  </si>
  <si>
    <t>کوثران طب گرمسار</t>
  </si>
  <si>
    <t>الکترونیک پزشکی پیشرفته</t>
  </si>
  <si>
    <t>شرکت نگین طب کویر</t>
  </si>
  <si>
    <t>آبدین جهان گستر ازما</t>
  </si>
  <si>
    <t>مهارت ماندگارقومس</t>
  </si>
  <si>
    <t xml:space="preserve">سایر اقلام </t>
  </si>
  <si>
    <t xml:space="preserve">شرکت اسکان بهسازه </t>
  </si>
  <si>
    <t xml:space="preserve">شرکت فولاد خمش </t>
  </si>
  <si>
    <t xml:space="preserve">شرکت واریان </t>
  </si>
  <si>
    <t xml:space="preserve">اروند فراز آسانبر </t>
  </si>
  <si>
    <t>مطالبات کارکنان بابت اضافه کار</t>
  </si>
  <si>
    <t>سایر سپرده ها و ودایع دریافتی</t>
  </si>
  <si>
    <t xml:space="preserve"> </t>
  </si>
  <si>
    <t>سازمان تامین اجتماعی،بیمه پیمانکاران</t>
  </si>
  <si>
    <t>2-4-5- استهلاك دارايي‌هاى ثابت مشهود، مشتمل بر دارایی‌های ناشی از اجاره سرمایه‌ای، با توجه به الگوی مصرف منافع اقتصادی آتی مورد انتظار (شامل عمر مفید برآوردی) دارایی‌های مربوط و با در نظــر گرفتن جدول استهلاک ماده 149 قانون مالیات‌های مستقیم اصـــلاحی مصوب 1394/04/31 بر اســـاس نرخ‌ها و روش‌های زیر محاسبه مى‏شود:</t>
  </si>
  <si>
    <t xml:space="preserve">2-4-6- براى دارايي‌هاى ثابتى كه طى ماه تحصيل مى‏شود و مورد بهره‏بردارى قرار می‌گيرد، استهلاك از اول ماه بعد محاسبه و در حساب‌ها منظور می‌شود. در مواردى كه هر يك از دارايي‌هاى استهلاك‌پذير پس از آمادگى جهت بهره‏بردارى به علت تعطيل كار يا علل ديگر براى مدتى مــــورد استفاده قرار نگيرد، ميزان استهلاك آن براى مدت ياد شده معادل 30 درصد نرخ استهلاك منعكس در جدول بالا است. </t>
  </si>
  <si>
    <t xml:space="preserve">زیان تسویه بدهی های دارایی سرمایه ای دانشگاه از محل اوراق خزانه اسلامی </t>
  </si>
  <si>
    <t>بیمه سلامت</t>
  </si>
  <si>
    <t>آتیه سازان حافظ</t>
  </si>
  <si>
    <t>شرکت بیمه دانا</t>
  </si>
  <si>
    <t xml:space="preserve">شرکت بیمه دی </t>
  </si>
  <si>
    <t>شرکت بیمه ایران</t>
  </si>
  <si>
    <t>شرکت بیمه تعاون</t>
  </si>
  <si>
    <t>شرکت بیمه رازی</t>
  </si>
  <si>
    <t xml:space="preserve">علوم پزشکی شاهرود </t>
  </si>
  <si>
    <t>دانشگاه آزاد اسلامی واحد سمنان</t>
  </si>
  <si>
    <t>واریان</t>
  </si>
  <si>
    <t>شرکت خدماتی ایرانسل</t>
  </si>
  <si>
    <t xml:space="preserve">داروخانه دانشگاه آزاد دامغان </t>
  </si>
  <si>
    <t>دانشگاه آزاداسلامی گرمسار</t>
  </si>
  <si>
    <t xml:space="preserve"> داروخانه دکتر وهاب زاده گرمسار</t>
  </si>
  <si>
    <t>زیرمجموعه وزارت بهداشت</t>
  </si>
  <si>
    <t>آوای سلامت</t>
  </si>
  <si>
    <t>امیر حسین دهقان نیری- بوفه مجتمع آموزشی</t>
  </si>
  <si>
    <t>سمیرا مقیمی فر- مهدکودک صدف</t>
  </si>
  <si>
    <t>محمدرضا اعوانی</t>
  </si>
  <si>
    <t>فناوری بن یاخته</t>
  </si>
  <si>
    <t>اپتومتری فریبرز رحمانیان</t>
  </si>
  <si>
    <t>داروخانه بوعلی</t>
  </si>
  <si>
    <t xml:space="preserve">هیات امناصرفه جویی </t>
  </si>
  <si>
    <t>عطف</t>
  </si>
  <si>
    <t>سوخت شده</t>
  </si>
  <si>
    <t>علوم پزشکی سمنان</t>
  </si>
  <si>
    <t>ضبط ضمانت نامه</t>
  </si>
  <si>
    <t>سود حساب های دو منظوره</t>
  </si>
  <si>
    <t>سمنت ارین سازه</t>
  </si>
  <si>
    <t>جهان تهویه اعتماد</t>
  </si>
  <si>
    <t>فن آوران پارسیان</t>
  </si>
  <si>
    <t>اسکان بهسازه</t>
  </si>
  <si>
    <t xml:space="preserve">بهساز بلند پایه </t>
  </si>
  <si>
    <t>پی تا بام کویر</t>
  </si>
  <si>
    <t>اروند فرازآسانبر</t>
  </si>
  <si>
    <t>صدر تهویه پارس</t>
  </si>
  <si>
    <t>پویش کاران کومش</t>
  </si>
  <si>
    <t>عمران گستر قومس</t>
  </si>
  <si>
    <t>ساتراپ</t>
  </si>
  <si>
    <t>نماسازه گرمسار</t>
  </si>
  <si>
    <t>نگین نما</t>
  </si>
  <si>
    <t>خاک و ابنیه الوارس</t>
  </si>
  <si>
    <t>راه پل و اسیا</t>
  </si>
  <si>
    <t>دریان دامغان</t>
  </si>
  <si>
    <t>سایر تغییرات درارزش خالص</t>
  </si>
  <si>
    <t>پیش دریافت</t>
  </si>
  <si>
    <t xml:space="preserve"> هزینه آب مصرفی</t>
  </si>
  <si>
    <t xml:space="preserve"> هزینه سوخت حرارتی گاز</t>
  </si>
  <si>
    <t xml:space="preserve"> هزینه برق مصرفی</t>
  </si>
  <si>
    <t>نقل و انتقالات</t>
  </si>
  <si>
    <t>نام پروژه</t>
  </si>
  <si>
    <t xml:space="preserve"> پروژه سوختگی و سرطان وبونکرهای رادیوتراپی بیمارستان کوثر </t>
  </si>
  <si>
    <t xml:space="preserve">پروژه دانشکده پرستاری و مامایی </t>
  </si>
  <si>
    <t xml:space="preserve"> پروژه کتابخانه و سایت کامپیوتر</t>
  </si>
  <si>
    <t>پروژه 4واحد مسکونی پزشکان متخصص شهرستان مهدیشهر</t>
  </si>
  <si>
    <t>پروژه اورژانس بيمارستان كوثر</t>
  </si>
  <si>
    <t xml:space="preserve"> پروژه توسعه بیمارستان امیرالمومنین(ع) شهرستان سمنان و تکمیل اورژانس  </t>
  </si>
  <si>
    <t>تکمیل ستاد شبکه ومرکز بهورزی گرمسارو محوطه سازی پروژه</t>
  </si>
  <si>
    <t>تکمیل مرکزخدمات جامع سلامت شهری شهرستان آرادان و محوطه سازی پروژه</t>
  </si>
  <si>
    <t>تکمیل ستاد شبکه شهرستان آرادان</t>
  </si>
  <si>
    <t>مرکز خدمات جامع سلامت روستایی فرات شهرستان دامغان</t>
  </si>
  <si>
    <t>مرکز خدمات جامع سلامت حلاجی شهرستان دامغان</t>
  </si>
  <si>
    <t>خانه بهداشت خطیرکوه شهرستان مهدیشهر</t>
  </si>
  <si>
    <t>اجرای پروژه به صورت امانی</t>
  </si>
  <si>
    <t>پروژه انبار استراتژیک و داروئی معاونت غذا و داروی دانشگاه</t>
  </si>
  <si>
    <t>اجرای اسکلت پروژه ساختمان الحاقی بیمارستان معتمدی گرمسار</t>
  </si>
  <si>
    <t>خوابگاه دانشجویی شهرستان آرادان</t>
  </si>
  <si>
    <t>مرکز بهداشتی دامغان</t>
  </si>
  <si>
    <t>احداث مراکز بهداشتی آرادان و گرمسار</t>
  </si>
  <si>
    <t>اجرای سر درب و دیوار محوطه بیمارستان 96 تختخوابی دامغان</t>
  </si>
  <si>
    <t>خانه بهداشت اروانه</t>
  </si>
  <si>
    <t xml:space="preserve">بانک رفاه کارگران </t>
  </si>
  <si>
    <t xml:space="preserve">کسر میشود سود و کارمزد سنوات آتی </t>
  </si>
  <si>
    <t>4- دریافتنی ها به نمایندگی از دولت</t>
  </si>
  <si>
    <t>4-1</t>
  </si>
  <si>
    <t>4-1-1-3</t>
  </si>
  <si>
    <t>4-1-1-4</t>
  </si>
  <si>
    <t>4-1-1-5</t>
  </si>
  <si>
    <t>4-1-1-2</t>
  </si>
  <si>
    <t>5- سایر دریافتنی ها</t>
  </si>
  <si>
    <t>6- موجودي‎ها</t>
  </si>
  <si>
    <t>6-2</t>
  </si>
  <si>
    <t xml:space="preserve"> 6-1- «موجودی مواد» از اقلام زیر تشکیل شده است:</t>
  </si>
  <si>
    <t xml:space="preserve"> 6-2- «موجودی کالا» از اقلام زیر تشکیل شده است:</t>
  </si>
  <si>
    <t>6-3- موجودی‌ها تا مبلغ 300،000 میلیون ریال در مقابل خطرات ناشی از زلزله،آتش سوزی و... بیمه شده است.</t>
  </si>
  <si>
    <t>7-پيش‌پرداخت‌ها و علی الحساب</t>
  </si>
  <si>
    <t xml:space="preserve"> 7-1- «پيش پرداخت و علی الحساب بابت عملیات جاری» به شرح زیر است:</t>
  </si>
  <si>
    <t>7-1-1-  «پيش پرداخت خريد مواد و کالا » به تفصیل زیر است:</t>
  </si>
  <si>
    <t>7-1-2-  «پيش پرداخت طرح‌هاي تحقيقاتي و مطالعاتي» به تفصیل زیر است:</t>
  </si>
  <si>
    <t>7-1-2</t>
  </si>
  <si>
    <t>7-1-1</t>
  </si>
  <si>
    <t>7-2- باتوجه به اینکه فروشندگان فوق مطالبات از دانشگاه دارند بابت پیش پرداخت ضمانت نامه اخذ نگردیده است.</t>
  </si>
  <si>
    <t>7-3- مبلغ 272 میلیون ریال از پیش‌پرداخت‌ها مربوط به اشخاص وابسته می‌باشد.</t>
  </si>
  <si>
    <t xml:space="preserve">7-4 مبلغ 7،900 میلیون ریال از پیش پرداخت ها به صورت سنواتی  می باشد . </t>
  </si>
  <si>
    <t>8- دارايي‎هاي نامشهود</t>
  </si>
  <si>
    <t>8-1 دارایی هایی شامل حق امتیاز و فرانشیز به ارزش 27،889 به شرح ذیل قابل تفکیک است:حق انشعاب آب 11،768 میلیون ریال ، حق انشعاب برق 11،147،حق انشعاب گاز 3،781میلیون ریال ،حق انشعاب فاضلاب 460میلیون ریال، ودایع تلفن606 میلیون ریال،ودایع پست الکترونیک 40 میلیون ریال حق الامتیاز بی سیم87 میلیون ریال</t>
  </si>
  <si>
    <t>11-1</t>
  </si>
  <si>
    <t>17-1</t>
  </si>
  <si>
    <t>4-6- حساب انتظامي- علی‎الحساب بابت عملیات جاری  به تفکیک سال به شرح زير است:</t>
  </si>
  <si>
    <t>نام بانك و شعبه</t>
  </si>
  <si>
    <t>بانک مرکزی</t>
  </si>
  <si>
    <t>کشاورزی شعبه جهاد</t>
  </si>
  <si>
    <t>تقویت بنیه علمی دانشجویان شاهد</t>
  </si>
  <si>
    <t>اورژانس هوایی</t>
  </si>
  <si>
    <t>ارتقای شاخص های بهداشتی</t>
  </si>
  <si>
    <t>ارائه خدمات درمانی</t>
  </si>
  <si>
    <t>تامین فضای اموزشی و کمک اموزشی</t>
  </si>
  <si>
    <t>ما به التفاوت نرخ ارز دارو</t>
  </si>
  <si>
    <t>وزارت کشور بابت کنترل و کاهش اعتياد ،مفاسد اخلاقي،حاشيه نشيني و طلاق</t>
  </si>
  <si>
    <t>ودایع اجاره</t>
  </si>
  <si>
    <t>سپرده ضمانت نامه بانکی</t>
  </si>
  <si>
    <t>7-1-1-1</t>
  </si>
  <si>
    <t>*</t>
  </si>
  <si>
    <t>6-7</t>
  </si>
  <si>
    <t>حصه جاری حساب های پرداختنی بلندمدت</t>
  </si>
  <si>
    <t>ذخیره مزایای بازخرید مرخصی کارکنان</t>
  </si>
  <si>
    <t>16-5- تسهيلات دريافتى برحسب مبانى مختلف به شرح زیر است:</t>
  </si>
  <si>
    <t>درآمد حاصل از فروش کالا و خدمات
کمک های بلاعوض دریافتی</t>
  </si>
  <si>
    <t>هزینه جبران خدمت كاركنان
 هزینه استفاده از کالاها و خدمات 
هزینه‎های اموال و دارایی (تامین مالی)
 هزینه کمک‌های بلاعوض</t>
  </si>
  <si>
    <t xml:space="preserve">
درآمد حاصل از مالکیت دولت</t>
  </si>
  <si>
    <t>46</t>
  </si>
  <si>
    <t>45</t>
  </si>
  <si>
    <t>38</t>
  </si>
  <si>
    <t>42</t>
  </si>
  <si>
    <t>اعتبارات تملک دارایی های سرمایه ای اختصاصی</t>
  </si>
  <si>
    <t>دریافتی از محل اعتبارات تملک دارایی های سرمایه ای اختصاصی</t>
  </si>
  <si>
    <t>تملک دارایی‎های سرمایه‌ای اختصاصی</t>
  </si>
  <si>
    <t>جمع دارایی‌های جاری ( جمع ردیف‌های 1 تا 6)</t>
  </si>
  <si>
    <t xml:space="preserve">3-1-1- موجودی نقد از محل اعتبارات اختصاصی29،530 میلیون ریال و از محل اعتبارات عمومی 570،375 میلیون ریال و از محل اعتبارات تملک579،326 می باشد. </t>
  </si>
  <si>
    <t>اختلاف بابت پرسنل شرکتی بوده برای یکسان سازی بالا اوردیم</t>
  </si>
  <si>
    <t>در سنوات قبل به علت محاسبه دستی اطلاعات جهت ثبت ذخیره مرخصی استفاده نشده و مکانیزه شدن آن در سال مالی 1401 منجر به ان گردید که هزینه سنوات خدمت طی سال کمتر شناسایی شود</t>
  </si>
  <si>
    <t>30-1</t>
  </si>
  <si>
    <t>قرارداد فضای سبز</t>
  </si>
  <si>
    <t>قرارداد تاسیسات</t>
  </si>
  <si>
    <t>قرارداد ایاب و ذهاب</t>
  </si>
  <si>
    <t>قرارداد خشکشویی</t>
  </si>
  <si>
    <t>شرکت رفاه</t>
  </si>
  <si>
    <t>مخارج انباشته ( میلیون ریال )</t>
  </si>
  <si>
    <t xml:space="preserve">برآورد مخارج تکمیل(میلیون ریال ) </t>
  </si>
  <si>
    <t>برآورد تاریخ بهره برداری</t>
  </si>
  <si>
    <t xml:space="preserve">درصد تکمیل </t>
  </si>
  <si>
    <t xml:space="preserve">تکمیل شده </t>
  </si>
  <si>
    <t xml:space="preserve">ساخت توسط خیرین </t>
  </si>
  <si>
    <t>خانه بهداشت چشمه نادی گرمسار</t>
  </si>
  <si>
    <t>خانه بهداشت رشمه گرمسار</t>
  </si>
  <si>
    <t>تک برگ</t>
  </si>
  <si>
    <t>دفترچه ای</t>
  </si>
  <si>
    <t>واگذاری</t>
  </si>
  <si>
    <t>شورایی</t>
  </si>
  <si>
    <t xml:space="preserve">دانشگاه علوم پزشکی و خدمات بهداشتی درمانی استان سمنان </t>
  </si>
  <si>
    <t xml:space="preserve">داراییهای ثابت مشهود </t>
  </si>
  <si>
    <t xml:space="preserve"> حساب‎ها و اسناد دریافتنی حاصل از عملیات مبادله‎ای</t>
  </si>
  <si>
    <t xml:space="preserve">ذخیره مزایای پایان خدمت کارکنان </t>
  </si>
  <si>
    <t xml:space="preserve">تعدیلات سنواتی </t>
  </si>
  <si>
    <t xml:space="preserve">طبقه بندی </t>
  </si>
  <si>
    <t>بدهکار</t>
  </si>
  <si>
    <t>بستانکار</t>
  </si>
  <si>
    <t xml:space="preserve">اقلام صورت وضعیت مالی </t>
  </si>
  <si>
    <t xml:space="preserve">اقلام صورت تغییرات دروضعیت مالی </t>
  </si>
  <si>
    <t>سال مالي منتهي به 29 اسفند 1402</t>
  </si>
  <si>
    <t>دریافتنی به نمایندگی از دولت</t>
  </si>
  <si>
    <t xml:space="preserve">درآمد ارائه خدمات </t>
  </si>
  <si>
    <t xml:space="preserve">     </t>
  </si>
  <si>
    <t>بند ب تبصره 17 قانون بودجه</t>
  </si>
  <si>
    <t>تکالیف هیات امنا</t>
  </si>
  <si>
    <t>پ) صورت تغییرات  در ارزش خالص</t>
  </si>
  <si>
    <t>سایردرآمدها</t>
  </si>
  <si>
    <t>یادداشت های توضیحی صورت های مالی</t>
  </si>
  <si>
    <t>سال مالی منتهی به 29 اسفند ماه 1402</t>
  </si>
  <si>
    <t>6-8</t>
  </si>
  <si>
    <t>8-11</t>
  </si>
  <si>
    <t>4-1- حساب‎ها و اسناد دريافتني حاصل از عملیات مبادله ای  شامل اقلام زیر است</t>
  </si>
  <si>
    <t xml:space="preserve">4-1-1 </t>
  </si>
  <si>
    <t>4-1-2</t>
  </si>
  <si>
    <t>4-1-3</t>
  </si>
  <si>
    <t>4-1-4</t>
  </si>
  <si>
    <t>4-1-5</t>
  </si>
  <si>
    <t>4-1-1- «سازمان‌هاي بيمه‌اي طرف قرارداد ( سهم درمان ) » به تفکیک زیر است:</t>
  </si>
  <si>
    <t>4-1-1-1</t>
  </si>
  <si>
    <t>4-1-1-6</t>
  </si>
  <si>
    <t>4-1-1-7</t>
  </si>
  <si>
    <t>4-1-1-8</t>
  </si>
  <si>
    <t>4-1-1-9</t>
  </si>
  <si>
    <t>4-1-1-4-  طلب از بیمه آتیه سازان حافظ تا تاریخ تنظیم گزارش تسویه شده است.</t>
  </si>
  <si>
    <t>4-1-1-5-  طلب از بیمه دانا تا تاریخ تنظیم گزارش تسویه شده است.</t>
  </si>
  <si>
    <t>4-1-1-6-  طلب از بیمه دی تا تاریخ تنظیم گزارش تسویه شده است.</t>
  </si>
  <si>
    <t>4-1-1-7-  طلب از بیمه ایران تاتاریخ تنظیم گزارش تسویه شده است.</t>
  </si>
  <si>
    <t>4-1-1-8 طلب از بیمه تعاون تا تاریخ تنظیم گزارش تسویه شده است.</t>
  </si>
  <si>
    <t>4-1-1-9 طلب از بیمه رازی تا تاریخ تنظیم گزارش تسویه شده است.</t>
  </si>
  <si>
    <t>4-1-2- «سازمان‌هاي بيمه‌اي طرف قرارداد ( سهم دارو ) » به تفکیک زیر است:</t>
  </si>
  <si>
    <t>4-1-2-1</t>
  </si>
  <si>
    <t>4-1-2-2</t>
  </si>
  <si>
    <t>4-1-2-3</t>
  </si>
  <si>
    <t>4-1-2-1-  طلب از سازمان تامین اجتماعی بابت اسناد ارسالی مرداد ماه لغایت دی  ماه سال 1402 می‌باشد که تا تاریخ تهیه صورت‌های مالی مبلغ 202،807 میلیون ریال آن وصول شده است.</t>
  </si>
  <si>
    <t>4-1-2-2-  طلب از سازمان بیمه سلامت بابت اسناد ارسالی آبان ماه لغایت اسفند ماه سال 1402 می‌باشد که تا تاریخ تهیه صورت‌های مالی مبلغ 59،214 میلیون ریال آن وصول شده است.</t>
  </si>
  <si>
    <t>4-1-2-3-  طلب از بیمه سازمان بیمه نیروهای مسلح بابت اسناد ارسالی مهر ماه لغایت اسفند ماه سال 1402 می‌باشد که تا تاریخ تهیه صورت‌های مالی مبلغ 13،234 میلیون ریال آن وصول شده است.</t>
  </si>
  <si>
    <t>4-1-3- «موسسات تابعه وزارت بهداشت به تفکیک زیر است:</t>
  </si>
  <si>
    <t>4-1-3-1</t>
  </si>
  <si>
    <t>4-1-3-2</t>
  </si>
  <si>
    <t>4-1-4- «ساير موسسات و شرکت‌ها» به تفکیک زیر است:</t>
  </si>
  <si>
    <t>4-1-4-1</t>
  </si>
  <si>
    <t>4-1-4-2</t>
  </si>
  <si>
    <t>4-1-4-3</t>
  </si>
  <si>
    <t>4-1-4-4</t>
  </si>
  <si>
    <t>4-1-4-5</t>
  </si>
  <si>
    <t>4-1-4-6</t>
  </si>
  <si>
    <t>4-1-4-7</t>
  </si>
  <si>
    <t>4-1-5- « بدهکاران اشخاص » به تفکیک زیر است:</t>
  </si>
  <si>
    <t>4-1-5-1</t>
  </si>
  <si>
    <t>4-1-5-2</t>
  </si>
  <si>
    <t>4-1-5-3</t>
  </si>
  <si>
    <t>4-1-5-4</t>
  </si>
  <si>
    <t>4-1-5-5</t>
  </si>
  <si>
    <t>4-1-5-6</t>
  </si>
  <si>
    <t>4-1-5-7</t>
  </si>
  <si>
    <t>5-1</t>
  </si>
  <si>
    <t>5-1- مطالبات از خزانه</t>
  </si>
  <si>
    <t>اعتبارات هزینه ای اختصاصی و عمومی این دانشگاه برای پیشبرد اهداف و وظایفی است که دولت برای دانشگاه ها در نظرگرفته است ازجمله ارتقا بهداشت و آموزش جامعه و درمان بیماران،پوشش فراگیر و دسترسی عادلانه آحاد جامعه به خدمات و مراقبت های سلامت ،افزایش امید به زندگی،کاهش بارناشی از بیماری های غیرواگیر و عوامل خطر اهداف و سیاست های بودجه ای می باشد.</t>
  </si>
  <si>
    <t>اعتبارات هزینه ای تملک این دانشگاه برای پیشبرد اهداف و وظایفی است که دولت برای دانشگاه ها در نظرگرفته است ازجمله ارتقا بهداشت و آموزش جامعه و درمان بیماران،پوشش فراگیر و دسترسی عادلانه آحاد جامعه به خدمات و مراقبت های سلامت ،افزایش امید به زندگی،کاهش بارناشی از بیماری های غیرواگیر و عوامل خطر اهداف و سیاست های بودجه ای می باشد.</t>
  </si>
  <si>
    <t>4-1-4-5- تا تاریخ تهیه صورتهای مالی ، مبلغ فوق تسویه نشده است.</t>
  </si>
  <si>
    <t>4-1-4-6- تا تاریخ تهیه صورتهای مالی ، مبلغ فوق تسویه نشده است.</t>
  </si>
  <si>
    <t>4-1-3-1- تا تاریخ تهیه صورتهای مالی ، مبلغ فوق تسویه شده است .</t>
  </si>
  <si>
    <t xml:space="preserve">4-1-3-2- تا تاریخ تهیه صورتهای مالی ، مبلغ فوق تسویه نشده است.   </t>
  </si>
  <si>
    <t>4-1-5-1- تا تاریخ تهیه صورتهای مالی ، مبلغ 440میلیون ریال تسویه شده است.</t>
  </si>
  <si>
    <t>4-1-5-2- تا تاریخ تهیه صورتهای مالی ، مبلغ فوق تسویه نشده است.</t>
  </si>
  <si>
    <t>4-1-5-3 تا تاریخ تهیه صورتهای مالی ، مبلغ فوق تسویه نشده است.</t>
  </si>
  <si>
    <t xml:space="preserve">4-1-5-4- تا تاریخ تهیه صورتهای مالی ، مبلغ144 میلیون ریال تسویه شده است. </t>
  </si>
  <si>
    <t>4-1-5-5- تا تاریخ تهیه صورتهای مالی ، مبلغ فوق تسویه نشده است.</t>
  </si>
  <si>
    <t>4-1-5-6- تا تاریخ تهیه صورتهای مالی ، 280میلیون ریال  تسویه شده است.</t>
  </si>
  <si>
    <t>مانده تجدید 
ارائه شده سال 1401</t>
  </si>
  <si>
    <t>مانده طبق صورت‌های مالی سال 1401</t>
  </si>
  <si>
    <t>مازاد(کسری) انباشته</t>
  </si>
  <si>
    <t>اوراق خزانه اسلامی-سپرده حسن انجام کار پیمانکاران</t>
  </si>
  <si>
    <t>تنخواه گردان اوراق بهادار</t>
  </si>
  <si>
    <t>توسعه طرح های صنعتی فن آوران پارسیان</t>
  </si>
  <si>
    <t>بهساز بلند پایه</t>
  </si>
  <si>
    <r>
      <t xml:space="preserve">   1-3-1-2- میانگین ماهانه تعداد كاركنان در حوزه «</t>
    </r>
    <r>
      <rPr>
        <b/>
        <sz val="10"/>
        <color theme="1"/>
        <rFont val="B Zar"/>
        <charset val="178"/>
      </rPr>
      <t>بهداشت</t>
    </r>
    <r>
      <rPr>
        <sz val="12"/>
        <color theme="1"/>
        <rFont val="B Zar"/>
        <charset val="178"/>
      </rPr>
      <t xml:space="preserve">» طي سال به شرح زير بوده است: </t>
    </r>
  </si>
  <si>
    <r>
      <t>1-3-1-3- میانگین ماهانه تعداد كاركنان در حوزه «</t>
    </r>
    <r>
      <rPr>
        <b/>
        <sz val="10"/>
        <color theme="1"/>
        <rFont val="B Zar"/>
        <charset val="178"/>
      </rPr>
      <t>درمان</t>
    </r>
    <r>
      <rPr>
        <sz val="12"/>
        <color theme="1"/>
        <rFont val="B Zar"/>
        <charset val="178"/>
      </rPr>
      <t xml:space="preserve">» طي سال به شرح زير بوده است: </t>
    </r>
  </si>
  <si>
    <r>
      <t>1-3-1-4- میانگین ماهانه تعداد كاركنان در حوزه «</t>
    </r>
    <r>
      <rPr>
        <b/>
        <sz val="10"/>
        <color theme="1"/>
        <rFont val="B Zar"/>
        <charset val="178"/>
      </rPr>
      <t>آموزش</t>
    </r>
    <r>
      <rPr>
        <sz val="12"/>
        <color theme="1"/>
        <rFont val="B Zar"/>
        <charset val="178"/>
      </rPr>
      <t xml:space="preserve">» طي سال به شرح زير بوده است: </t>
    </r>
  </si>
  <si>
    <r>
      <t>1-3-1-5-میانگین ماهانه تعداد كاركنان در حوزه «</t>
    </r>
    <r>
      <rPr>
        <b/>
        <sz val="10"/>
        <color theme="1"/>
        <rFont val="B Zar"/>
        <charset val="178"/>
      </rPr>
      <t>تحقیقات</t>
    </r>
    <r>
      <rPr>
        <sz val="12"/>
        <color theme="1"/>
        <rFont val="B Zar"/>
        <charset val="178"/>
      </rPr>
      <t xml:space="preserve">» طي سال به شرح زير بوده است: </t>
    </r>
  </si>
  <si>
    <r>
      <t>1-3-1-6- میانگین ماهانه تعداد كاركنان در حوزه «</t>
    </r>
    <r>
      <rPr>
        <b/>
        <sz val="10"/>
        <color theme="1"/>
        <rFont val="B Zar"/>
        <charset val="178"/>
      </rPr>
      <t>غذا و دارو</t>
    </r>
    <r>
      <rPr>
        <sz val="12"/>
        <color theme="1"/>
        <rFont val="B Zar"/>
        <charset val="178"/>
      </rPr>
      <t xml:space="preserve">» طي سال به شرح زير بوده است: </t>
    </r>
  </si>
  <si>
    <r>
      <t>1-3-1-7- میانگین ماهانه تعداد كاركنان در حوزه «</t>
    </r>
    <r>
      <rPr>
        <b/>
        <sz val="10"/>
        <color theme="1"/>
        <rFont val="B Zar"/>
        <charset val="178"/>
      </rPr>
      <t>پشتیبانی</t>
    </r>
    <r>
      <rPr>
        <sz val="12"/>
        <color theme="1"/>
        <rFont val="B Zar"/>
        <charset val="178"/>
      </rPr>
      <t xml:space="preserve">» طي سال به شرح زير بوده است: </t>
    </r>
  </si>
  <si>
    <t xml:space="preserve">   1-3-1-1- کاهش تعداد پرسنل در سال جاری ناشی از مازاد خروجی پرسنل می باشد.</t>
  </si>
  <si>
    <t xml:space="preserve">7-5 مبلغ 49،558 میلیون ریال از پیش پرداخت ها تا تاریخ تهیه صورتهای مالی قطعی و تسویه شده است . </t>
  </si>
  <si>
    <t>5-2</t>
  </si>
  <si>
    <t xml:space="preserve">5-1-مانده حساب فوق از بند قانونی (ب)تبصره 5 بوده وارزش اسمی هرورقه اوراق 1میلیون ریال واز اخزا201و202و210و211و213وباسر رسید 1405می باشد مضافا" از مانده حساب فوق تا تاریخ تهیه صورت مالی 20926میلیون ریال مصرف نشده است </t>
  </si>
  <si>
    <t xml:space="preserve">4-1-4-4- تا تاریخ تهیه صورتهای مالی ، مبلغ 270میلیون ریال تسویه شده است. </t>
  </si>
  <si>
    <t>نام اشخاص وابسته</t>
  </si>
  <si>
    <t>موضوع</t>
  </si>
  <si>
    <t>ارائه خدمات</t>
  </si>
  <si>
    <t>هدایای دریافتی</t>
  </si>
  <si>
    <t>خرید کالا</t>
  </si>
  <si>
    <t xml:space="preserve">ارائه خدمات بیماران صعب العلاج ,زایمان طبیعی ,مصدومین ترافیکی </t>
  </si>
  <si>
    <t>فروش خدمات پزشکی و درمانی</t>
  </si>
  <si>
    <t>خرید خدمات پروازی بالگرد</t>
  </si>
  <si>
    <t xml:space="preserve"> اشخاص وابسته</t>
  </si>
  <si>
    <t>اوای سلامت</t>
  </si>
  <si>
    <t>4-1-4-2- مانده حساب فوق از بابت اضافه پرداختی در نرخ های صورت وضعیت تعدیل بوده که این مبلغ در سال مالی بعد از صورت وضعیت قطعی و صورت وضعیت تعدیل بعدی تسویه خواهد شد  مضافا تا تاریخ تهیه صورتهای مالی ، مبلغ فوق تسویه نشده است.</t>
  </si>
  <si>
    <t>4-1-4-8</t>
  </si>
  <si>
    <t>4-1-4-7-مانده حساب فوق ناشی از مازاد تهاتر صوت گرفته از سوی مطالبات تامین اجتماعی صورت پذیرفته است همچنین مبلغ فوق الذکر در سال مالی بعد با بدهی های شرکت تسویه شده است.</t>
  </si>
  <si>
    <t>4-1-4-3-مطالبات از شرکت ایرانسل بابت اجاره قرارداد سال 1402 بابت نصب دو دکل خدمات ارتباطی در املاک دانشگاه می باشد مضافا تا تاریخ تهیه صورتهای مالی ، مبلغ فوق تسویه نشده است.</t>
  </si>
  <si>
    <t>خرید تجهیزات پزشکی</t>
  </si>
  <si>
    <t>4-1-4-1-مطالبات از دانشگاه ازاد بابت قرارداد کارآموزی و کارورزی دانشجویان در بیمارستان ها و مراکز بهداشت تحت پوشش دانشگاه بر اساس 90%شهریه متغیر دانشجو می باشد.کل مبلغ قرارداد سال 1401 مبلغ 4،804 میلیون ریال بوده که مبلغ 4،375 میلیون ریال در سه مرحله در سال 1402 و باقی مانده در سال 1403 تسویه شده است  مبلغ قرارداد سال 1402 به مبلغ 6،500میلیون ریال می باشد که تاکنون 3،133 میلیون ریال تسویه شده است.</t>
  </si>
  <si>
    <t>جمع دارایی‌های غیر جاری ( جمع ردیف‌های 8 تا 9 )</t>
  </si>
  <si>
    <t>جمع دارایی‌های جاری و غیر جاری ( جمع ردیف‌های 7 , 10 )</t>
  </si>
  <si>
    <t>جمع بدهی‌های جاری ( جمع ردیف‌های 12 تا 16 )</t>
  </si>
  <si>
    <t>جمع بدهی‌های غیر جاری ( جمع ردیف‌های 18 تا 20 )</t>
  </si>
  <si>
    <t>جمع بدهی‌های جاری و غیر جاری ( جمع ردیف‌های 17,21 )</t>
  </si>
  <si>
    <t>خالص تغییر در وضعیت مالی ( جمع ردیف‌های 23 تا 26 )</t>
  </si>
  <si>
    <t xml:space="preserve">ارزش خالص در پایان سال ( جمع ردیف‌های28تا 32 ) </t>
  </si>
  <si>
    <t>جمع بدهی‌ها و ارزش خالص ( جمع ردیف‌های22,33 )</t>
  </si>
  <si>
    <t>9- دارايي‎هاي ثابت مشهود</t>
  </si>
  <si>
    <t>9-1-افزایش اثاثه ومنصوبات عمدتا شامل خرید تجهیزات کامپبوتر وپرینتر و... می باشد.</t>
  </si>
  <si>
    <t>9-2-افزایش نقلیه زمینی شامل خرید آمبولانس می باشد.</t>
  </si>
  <si>
    <t>9-3- افزایش دارایی‎هایی  شامل ماشین آلات و تجهیزات شامل خرید  وهدایای دریافتی شامل دستگاههای تخت بیمارو جراحی و دستگاه دیالیزو دستگاه ونتیلاتورو دستگاه الکتروشوک  و دستگاه سی تی اسکن و...می باشد</t>
  </si>
  <si>
    <t>9-4-افزایش ساختمان و مستحدثات بابت تکمیل پروژه اورژانس کوثر و مراکزبهداشتی شهرستان آرادان ،گرمسار و دامغان می باشد.</t>
  </si>
  <si>
    <t>9-5-افزایش زمین بابت هزينه واگذاري زمين پايگاه سلامت حمزه می باشد</t>
  </si>
  <si>
    <t>9-6-افزایش تاسیسات بابت خرید آسانسور ،تابلوبرق و دیزل ژنراتور و پمپ و ... می باشد.</t>
  </si>
  <si>
    <t>9-7- افزایش دارایی‎هایی  موجود درانبار بابت خرید دستگاههای تخت بیمارو جراحی و دستگاه دیالیزو دستگاه ونتیلاتورو دستگاه الکتروشوک  و پرینتر و کامپیوتر و...می باشد</t>
  </si>
  <si>
    <t>9-8-مبلغ41423 میلیون ریال از پیش پرداخت ها  مربوط به اشخاص وابسته می باشد.</t>
  </si>
  <si>
    <t>9-9 اموال منقول و غیر منقول دانشگاه تا سقف ارزش9،064،631 میلیون ریال در مقابل سیل و آتش سوزی و زلزله از پوشش بیمه ای شناور برخوردار است شایان ذکر است پروژه های در جریان تکمیل دانشگاه توسط پیمانکاران پروژه تحت پوشش بیمه ای قرار گرفته است.</t>
  </si>
  <si>
    <t>9-10ساختمانی به ارزش600،000 میلیون ریال در قبال تسهیلات مالی دریافتی در رهن بانک می باشد</t>
  </si>
  <si>
    <t xml:space="preserve">9-11-اقلام منعکس در سرفصل های ساختمان ،زمین و تاسیسات در پایان سال 1396 مورد تجدید ارزیابی قرارگرفته و تفاوت آن به مبلغ 2،046،056 میلیون ریال در پایان سال 1396 تحت عنوان مازاد تجدید ارزیابی درگروه ارزش خالص طبقه بندی شده و طی سال های 1397الی 1402 از بابت تفاوت هزینه استهلاک دارایی ها قبل از تحدید ارزیابی و بعد از تجدید ارزیابی تعدیل شده است </t>
  </si>
  <si>
    <t>9-12- دارایی‎های در جریان تکمیل به شرح زیر است:</t>
  </si>
  <si>
    <t>:9-13وضعیت اسناد مالکیت اموال غیر منقول به شرح زیر است</t>
  </si>
  <si>
    <t>10- پرداختنی ها</t>
  </si>
  <si>
    <t>10-1- حساب‌ها و اسناد پرداختني حاصل از عملیات مبادله‎ای</t>
  </si>
  <si>
    <t xml:space="preserve">10-1-1-  حساب‌ها و اسناد پرداختنی از اقلام زیر تشکیل شده است:      </t>
  </si>
  <si>
    <t>10-1-1-1-  «فروشندگان دارو»  به تفصیل زیر است:</t>
  </si>
  <si>
    <t xml:space="preserve">10-1-1-1-1- تا تاریخ تهیه صورتهای مالی مبلغ 264،367 میلون ریال از مطالبات شرکتهای دارویی پرداخت شده است . </t>
  </si>
  <si>
    <t xml:space="preserve">10-1-1-1-2-در سال مالی 1402 مانده بدهی شرکت داروپخش به مبلغ 334،377 میلیون ریال ،شرکت پخش هجرت 60،735 میلیون ریال و شرکت اکسیر 19،540 میلیون ریال ازمحل مطالبات تامین اجتماعی تسویه شده است </t>
  </si>
  <si>
    <t>10-1-1-2-  «فروشندگان ابزار و لوازم مصرفي پزشکي و بهداشتي» به تفصیل زیر است:</t>
  </si>
  <si>
    <t xml:space="preserve">10-1-1-2-1- تا تاریخ تهیه صورتهای مالی مبلغ 484،059 میلون ریال از مطالبات فروشندگان پرداخت شده است . </t>
  </si>
  <si>
    <t>10-1-1-3-   «فروشندگان لوازم رشته هاي پزشکي، درماني و آزمايشگاهي» به تفصیل زیر است:</t>
  </si>
  <si>
    <t xml:space="preserve">10-1-1-3-1- تا تاریخ تهیه صورتهای مالی مبلغ22،940میلون ریال از مطالبات فروشندگان پرداخت شده است . </t>
  </si>
  <si>
    <t>10-1-1-4-   «فروشندگان ماشين آلات و ابزار آلات» به تفصیل زیر است:</t>
  </si>
  <si>
    <t xml:space="preserve">10-1-1-4-1- تا تاریخ تهیه صورتهای مالی مبلغ21،540 میلون ریال از مطالبات فروشندگان پرداخت شده است . </t>
  </si>
  <si>
    <t>10-1-1-5-   «پيمانکاران و فروشندگان خدمات پروژه‌هاي جاري» به تفصیل زیر است:</t>
  </si>
  <si>
    <t xml:space="preserve">10-1-1-5-1- تا تاریخ تهیه صورتهای مالی مبلغ 420،540 میلون ریال از مطالبات پیمانکاران و فروشندگان پرداخت شده است . </t>
  </si>
  <si>
    <t>10-1-1-6-   «پيمانکاران و فروشندگان خدمات پروژه هاي سرمايه‌اي» به تفصیل زیر است:</t>
  </si>
  <si>
    <t xml:space="preserve">10-1-1-6-1- تا تاریخ تهیه صورتهای مالی مبلغ185،043میلون ریال از مطالبات پیمانکاران و فروشندگان پروژه های سرمایه ای پرداخت شده است . </t>
  </si>
  <si>
    <t xml:space="preserve">10-1-2- حقوق و مزاياي پرداختني از اقلام زیر تشکیل شده است:    </t>
  </si>
  <si>
    <t xml:space="preserve">10-1-2-3- تا تاریخ تهیه صورتهای مالی ، مبلغ 9،385میلون ریال از مطالبات کارکنان ( بابت حقوق و مزایا ) پرداخت شده است . </t>
  </si>
  <si>
    <t xml:space="preserve">10-1-2-4- تا تاریخ تهیه صورتهای مالی ، مطالبات کارکنان ( بابت عیدی و پاداش ) پرداخت نشده است . </t>
  </si>
  <si>
    <t>10-1-2-5 مطالبات فوق شامل مسکن ،مهد ،ماموریت حق التدریس ،لباس و غذا می باشد.</t>
  </si>
  <si>
    <t>10-1-2-6-روند رو به تزاید مطالبات کارکنان در سال جاری عمدتاً به دلیل عدم وصول به موقع مطالبات از سازمانهای بیمه گر بوده است.</t>
  </si>
  <si>
    <t xml:space="preserve">10-1-3 سپرده‌های پرداختنی از اقلام زیر تشکیل شده است:    </t>
  </si>
  <si>
    <t>10-1-3-1- «سپرده حسن انجام کار» به تفصیل زیر است:</t>
  </si>
  <si>
    <t>10-1-3-3-  «سپرده حسن انجام تعهدات پيمانکاران» به تفصیل زیر است:</t>
  </si>
  <si>
    <t>10-1-4- مبلغ 240،284میلیون ریال از حساب‌ها و اسناد پرداختنی حاصل از عملیات مبادله‌ای مربوط به اشخاص وابسته می‌باشد.</t>
  </si>
  <si>
    <t>11- تسهیلات مالی</t>
  </si>
  <si>
    <t>12- پيش‎دريافت‎ها</t>
  </si>
  <si>
    <t>13- حصه جاری حسابهای پرداختنی بلندمدت</t>
  </si>
  <si>
    <t>14-سایر بدهی های جاری</t>
  </si>
  <si>
    <t>15-تسهیلات مالی بلندمدت</t>
  </si>
  <si>
    <t>15-1- دانشگاه در اسفند ماه سال 1398 نسبت به عقد قرارداد تسهیلات مالی مشارکت مدنی بابانک رفاه کارگران شعبه سعدی سمنان جهت تامین بخشی از تجهیزات آزمایشگاهی و پزشکی به مبلغ مصوب 275،000 میلیون اقدام نموده است . سهم بانک ازمشارکت مبلغ 220،000 میلیون ریال  و  سهم دانشگاه از مشارکت مبلغ  55،000 میلیون ریال بوده که توسط بانک مذکوردر زمان انعقاد قرارداد از حساب های دانشگاه برداشت شده است. تاریخ شروع قرارداد 1398/12/26 و تاریخ سررسید دوره پرداخت تسهیلات توسط بانک ، 1400/06/26 می باشد .</t>
  </si>
  <si>
    <t>15-2- نرخ کارمزد تسهیلات مالی 18 درصد سالانه  است که براساس مدت زمان قرارداد و مبلغ تسهیلات مالی استفاده شده، مبلغ 36،320 میلیون ریال ازاین بابت به شرح یادداشت توضیحی 25 محاسبه و منعکس شده است .</t>
  </si>
  <si>
    <t>15-3- دوره بازپرداخت تسهیلات مذکور از تاریخ 1401/06/27 به مدت 36 ماه می باشد که اصل و فرع قرارداد مشارکت مدنی ( مبلغ 354،282 میلیون ریال ) از طریق انعقاد قرارداد جدید باعنوان فروش اقساطی تسویه خواهد شد.مبلغ 156،453 میلیون ریال بدهی اقساط در سال 1403  است.</t>
  </si>
  <si>
    <t>15-4- سند مالکیت ساختمان ستاد دانشگاه علوم پزشکی به عنوان وثیقه تسهیلات مالی در رهن بانک رفاه کارگران شعبه سعدی سمنان می باشد.</t>
  </si>
  <si>
    <t>15-5-به تفكيك نرخ سود و كارمزد:</t>
  </si>
  <si>
    <t>15-5-1-به تفكيك زمان‌بندى پرداخت:</t>
  </si>
  <si>
    <t>15-6-به تفكيك نوع وثيقه:</t>
  </si>
  <si>
    <t>16-ذخیره مزایای پایان خدمت کارکنان</t>
  </si>
  <si>
    <t>16-1</t>
  </si>
  <si>
    <t>16-2</t>
  </si>
  <si>
    <t>16-1-افزایش ذخیره سنوات خدمت نسبت به رقم مشابه سال قبل ازبابت خروجی محاسبات دقیق صورت گرفته مطابق با سیستم حقوق و دستمزد می باشد.</t>
  </si>
  <si>
    <t>16-2- «ذخیره مزایای پایان خدمت کارکنان» به تفکیک گروه استخدامی به شرح زیر است:</t>
  </si>
  <si>
    <t>17-سایر بدهی‎های غیرجاری</t>
  </si>
  <si>
    <t>17-1-ذخیره مرخصی استفاده نشده کارکنان</t>
  </si>
  <si>
    <t>17-2- «ذخیره مرخصی استفاده نشده کارکنان» به تفکیک گروه استخدامی به شرح زیر است:</t>
  </si>
  <si>
    <t>18-مازاد تجدید ارزیابی</t>
  </si>
  <si>
    <t>19- دریافتی از محل منابع عمومی</t>
  </si>
  <si>
    <t>19-1</t>
  </si>
  <si>
    <t>19-2</t>
  </si>
  <si>
    <t>19-3</t>
  </si>
  <si>
    <t>19-1-دریافتی بابت عملیات جاری از محل اعتبارات بودجه ای</t>
  </si>
  <si>
    <t>19-2- دریافتی بابت عملیات سرمایه ای از محل اعتبارات بودجه ای</t>
  </si>
  <si>
    <t>19-3-سایر منابع دریافتی</t>
  </si>
  <si>
    <t>21-1</t>
  </si>
  <si>
    <t>21-2</t>
  </si>
  <si>
    <t>30- فروش کالا و خدمات</t>
  </si>
  <si>
    <t>30-1- درآمد حاصل از خدمات شامل اقلام زیر می‌باشد:</t>
  </si>
  <si>
    <t>30-2- درآمد حاصل از فروش کالا ( دارو )  شامل اقلام زیر می‌باشد:</t>
  </si>
  <si>
    <t xml:space="preserve">20
21
</t>
  </si>
  <si>
    <t>22
23
24
25</t>
  </si>
  <si>
    <t>26
27
28</t>
  </si>
  <si>
    <t>29</t>
  </si>
  <si>
    <t>30
31
32
33</t>
  </si>
  <si>
    <t>35
36</t>
  </si>
  <si>
    <t>37</t>
  </si>
  <si>
    <t>39
40</t>
  </si>
  <si>
    <t>56</t>
  </si>
  <si>
    <t>55</t>
  </si>
  <si>
    <t>52</t>
  </si>
  <si>
    <t>49-51</t>
  </si>
  <si>
    <t>47-48</t>
  </si>
  <si>
    <t>41-42</t>
  </si>
  <si>
    <t>39-40</t>
  </si>
  <si>
    <t>40</t>
  </si>
  <si>
    <t>36-38</t>
  </si>
  <si>
    <t>32</t>
  </si>
  <si>
    <t>33-35</t>
  </si>
  <si>
    <t>31</t>
  </si>
  <si>
    <t>30</t>
  </si>
  <si>
    <t>28</t>
  </si>
  <si>
    <t>24-28</t>
  </si>
  <si>
    <t>22-23</t>
  </si>
  <si>
    <t>21</t>
  </si>
  <si>
    <t>13-15</t>
  </si>
  <si>
    <t>6-11</t>
  </si>
  <si>
    <t>17-20</t>
  </si>
  <si>
    <t xml:space="preserve">4-1-5-7- مانده حساب فوق بابت اجاره محل بوفه ، خدمات چاپ  و ... می باشد مضافا تا تاریخ تهیه صورتهای مالی ، مبلغ6،983 میلیون ریال از مطالبات فوق تسویه شده است . </t>
  </si>
  <si>
    <t xml:space="preserve">4-1-4-8- تا تاریخ تهیه صورتهای مالی ، مبلغ 2،736 میلیون ریال از مطالبات فوق تسویه شده است . </t>
  </si>
  <si>
    <t>7-1-1-1 مانده حساب فوق مرتبط با خرید گوشت جهت طبخ قرارداد غذا می باشد مضافا تا تاریخ تهیه صورت مالی مبلغ فوق تسویه شده است.</t>
  </si>
  <si>
    <t>10-1-2-1- تا تاریخ تهیه صورتهای مالی ، مبلغ فوق تسویه شده است.</t>
  </si>
  <si>
    <t>10-1-2-2- تا تاریخ تهیه صورتهای مالی ، مبلغ فوق تسویه شده است.</t>
  </si>
  <si>
    <t>10-1-1</t>
  </si>
  <si>
    <t>10-1-2</t>
  </si>
  <si>
    <t>10-1-3</t>
  </si>
  <si>
    <t>10-1-1-1</t>
  </si>
  <si>
    <t>10-1-1-2</t>
  </si>
  <si>
    <t>10-1-1-3</t>
  </si>
  <si>
    <t>10-1-1-4</t>
  </si>
  <si>
    <t>10-1-1-5</t>
  </si>
  <si>
    <t>10-1-1-6</t>
  </si>
  <si>
    <t>10-1-2-1</t>
  </si>
  <si>
    <t>10-1-2-2</t>
  </si>
  <si>
    <t>10-1-2-3</t>
  </si>
  <si>
    <t>10-1-2-4</t>
  </si>
  <si>
    <t>10-1-2-5</t>
  </si>
  <si>
    <t>10-1-3-1</t>
  </si>
  <si>
    <t>10-1-3-2</t>
  </si>
  <si>
    <t>10-1-3-3</t>
  </si>
  <si>
    <t>10-1-3-2- «سپرده بیمه پيمانکاران» به تفصیل زیر است:</t>
  </si>
  <si>
    <t>سلامت اندیش کومش</t>
  </si>
  <si>
    <t>موسسه نیکوکاران راه آسمان</t>
  </si>
  <si>
    <t>خوابگاه مریم</t>
  </si>
  <si>
    <t>4-1-6</t>
  </si>
  <si>
    <t>4-1-6- تاتاریخ تهیه صورت مالی ،مبلغ 120،039 میلیون ریال تسویه شده است.</t>
  </si>
  <si>
    <t>4-1-7- مبلغ 767,988 میلیون ریال از حساب ها و اسناد دریافتنی حاصل از عملیات مبادلهای مربوط به اشخاص وابسته می باشد.</t>
  </si>
  <si>
    <r>
      <t xml:space="preserve">19-2-1- </t>
    </r>
    <r>
      <rPr>
        <sz val="11"/>
        <rFont val="B Zar"/>
        <charset val="178"/>
      </rPr>
      <t>مبلغ 666،652 میلیون ریال از دریافتی بابت عملیات سرمایه‎ای از محل واگذاری اسناد خزانه اسلامی و مبلغ34،081 میلیون ریال آن از محل صدور اسناد تسویه خزانه بوده است مضافا از رقم فوق مبلغ 830،800 میلیون ریال مربوط به ابلاغی سرمایه ای می باشد</t>
    </r>
  </si>
  <si>
    <t>19-1-1-مبلغ 157،932 میلیون ریال آن از محل صدور اسناد تسویه خزانه بوده است مضافا از رقم فوق مبلغ 1،758،116 میلیون ریال مربوط به ابلاغی جاری می باشد</t>
  </si>
  <si>
    <t xml:space="preserve">صورت‎هاي مالي بر اساس استانداردهای حسابداری بخش عمومی در چارچوب دستورالعمل‎های ابلاغی وزارت امور اقتصادی و دارایی تهيه شده و در تاریخ 05/20/ 1403  به تاييد مقامات زیر رسيده است.                  </t>
  </si>
  <si>
    <t>4-1-1-3-  طلب از بیمه سازمان بیمه نیروهای مسلح بابت اسناد ارسالی مهر ماه لغایت اسفند ماه سال 1402 می‌باشد که تا تاریخ تهیه صورت‌های مالی مبلغ154،992 میلیون ریال آن وصول شده است شایان ذکر است مبلغ 33،674 میلیون ریال بابت جرایم  دیرکرد وصول مطالبات از سازمان مذکور در سنوات قبل در حسابها منظور شده و مبلغ 11،507میلیون ریال جرایم دیر کرد وصول مطالبات سال جاری به جهت رویه دانشگاه در زمان وصول در حسابها منعکس می گردد</t>
  </si>
  <si>
    <t xml:space="preserve">4-1-1-1-  طلب از سازمان تامین اجتماعی بابت اسناد ارسالی مرداد ماه لغایت دی  ماه سال 1402 می‌باشد که تا تاریخ تهیه صورت‌های مالی مبلغ 701،159 میلیون ریال آن وصول شده است شایان ذکر است مبلغ 420،280 میلیون ریال  بابت جرایم  دیرکرد وصول مطالبات از سازمان مذکوردر سنوات قبل درحسابها منظور شده ومبلغ 81،319میلیون ریال بابت جرایم دیر کرد وصول مطالبات سال جاری به جهت رویه دانشگاه در زمان وصول در حسابها منعکس می گردد  </t>
  </si>
  <si>
    <t>4-1-1-2-  طلب از سازمان بیمه سلامت بابت اسناد ارسالی آبان ماه لغایت اسفند ماه سال 1402 می‌باشد که تا تاریخ تهیه صورت‌های مالی مبلغ 267،472 میلیون ریال آن وصول شده است شایان ذکر است مبلغ 151،791میلیون ریال بابت جرایم  دیرکرد وصول مطالبات از سازمان مذکور درسنوات قبل در حسابها منظور شده و مبلغ 30،498میلیون ریال جرایم دیرکرد وصول مطالبات سال جاری به جهت رویه دانشگاه در زمان وصول در حسابها منعکس می گردد</t>
  </si>
  <si>
    <t>درآمدهای شناسایی شده به نمایندگی دولت:</t>
  </si>
  <si>
    <t>20-1</t>
  </si>
  <si>
    <t>درآمد حاصل از فروش کالا(دارو )</t>
  </si>
  <si>
    <t>درامد بیمارستان ها</t>
  </si>
  <si>
    <t>برگشت از درآمد</t>
  </si>
  <si>
    <t>کنترل درامد مصدومین ترافیکی</t>
  </si>
  <si>
    <t>کنترل درامد بیماران نیازمند و صعب العلاج</t>
  </si>
  <si>
    <t>کنترل درآمد طرح تحول نظام سلامت-کاهش فرانشیز</t>
  </si>
  <si>
    <t>درآمد مراکز بهداشت و شبکه‌هاي روستایی</t>
  </si>
  <si>
    <t>درآمدهای حاصل از منابع اختصاصی</t>
  </si>
  <si>
    <t>20-درآمد حاصل از مالکیت دولت</t>
  </si>
  <si>
    <t>20-1درآمد فوق بابت اجاره بوفه و مهدکودک و دکل ایرانسل و... می باشد.</t>
  </si>
  <si>
    <t>21- فروش کالا و خدمات</t>
  </si>
  <si>
    <t>21-1 درآمد حاصل از خدمات شامل اقلام زیر می باشد:</t>
  </si>
  <si>
    <t>21-2 درآمد حاصل از فروش کالا (دارو) شامل اقلام زیر می باشد:</t>
  </si>
  <si>
    <t>22-جرایم  و خسارات</t>
  </si>
  <si>
    <t>23-سایر درآمدها</t>
  </si>
  <si>
    <t>درامد حاصل ازجرایم و خسارات</t>
  </si>
  <si>
    <t>سایر در آمدها</t>
  </si>
  <si>
    <t xml:space="preserve">درآمدهای حاصل از جرایم و خسارات </t>
  </si>
  <si>
    <t>24- کمک های بلاعوض دریافتی</t>
  </si>
  <si>
    <t>24-1</t>
  </si>
  <si>
    <t>24-2</t>
  </si>
  <si>
    <t>24-3</t>
  </si>
  <si>
    <t>24-1- هدایای نقدی</t>
  </si>
  <si>
    <t>24-2- دارایی های اهدایی</t>
  </si>
  <si>
    <t>24-2-1- مبلغ 162،315 میلیون ریال از دارایی های اهدایی دریافتی سال 1402مربوط به اشخاص وابسته می باشد.</t>
  </si>
  <si>
    <t>24-3- موجودی های اهدایی</t>
  </si>
  <si>
    <t>24-3-1- مبلغ 32،345 میلیون ریال از موجودی های اهدایی دریافتی سال 1402 مربوط به اشخاص وابسته می باشد.</t>
  </si>
  <si>
    <t>25- هزینه جبران خدمت كاركنان</t>
  </si>
  <si>
    <t>25-1</t>
  </si>
  <si>
    <t xml:space="preserve">25-1- «حقوق و دستمزد، فوق العاده‌ها و مزایای شغل» به تفکیک گروه استخدامی به شرح زیر است:   </t>
  </si>
  <si>
    <t xml:space="preserve">25-1-1 افزایش مبلغ در سال 1402 بابت پرسنل غیر هیات علمی(تغییر ضریب (1401) 3353 به (1402) 4024 میزان 20% افزایش نسبت به سال های قبل و همچنین حقوق کارکنان هیات علمی در سال 1402 از ضریب 47754 به ضریب 57305 به میزان 20% نسبت به سال قبل داشتته است </t>
  </si>
  <si>
    <t>26- هزینه استفاده از کالاها و خدمات</t>
  </si>
  <si>
    <t>26-1</t>
  </si>
  <si>
    <t>26-2</t>
  </si>
  <si>
    <t xml:space="preserve">26-1- «حق الزحمه انجام خدمات قراردادی» از اقلام زیر تشکیل شده است:      </t>
  </si>
  <si>
    <t>26-1-1</t>
  </si>
  <si>
    <t>26-1-1 حق الزحمه خدمات اشخاص حقوقی (قراردادها) از اقلام زیر تشکیل شده است:</t>
  </si>
  <si>
    <t>26-1-1-1</t>
  </si>
  <si>
    <t xml:space="preserve">26-1-1-1 آوای سلامت قرارداد ارائه خدمات بالگرداورژانس هوایی دانشگاه علوم پزشکی می باشد. </t>
  </si>
  <si>
    <t xml:space="preserve">26-2- «مواد و لوازم مصرف شدنی» از اقلام زیر تشکیل شده است: </t>
  </si>
  <si>
    <t>27- هزینه اموال و دارایی (تامین مالی)</t>
  </si>
  <si>
    <t>28- هزینه کمک‌های بلاعوض</t>
  </si>
  <si>
    <t>29- هزینه رفاه اجتماعی</t>
  </si>
  <si>
    <t>30- سایر هزینه ها</t>
  </si>
  <si>
    <t>30-1- «سایر هزینه‌های متفرقه» به شرح زیر است:</t>
  </si>
  <si>
    <t>31- مصرف سرمایه های ثابت (هزینه استهلاک)</t>
  </si>
  <si>
    <t>31-1</t>
  </si>
  <si>
    <t>31-1- مصرف سرمایه‎های ثابت ملموس</t>
  </si>
  <si>
    <t>32- درآمد حاصل از مالکیت دولت</t>
  </si>
  <si>
    <t>32-1</t>
  </si>
  <si>
    <t>32-1 درامد فوق بابت اجاره بوفه و مهدکودک و دکل ایرانسل و ... می باشد</t>
  </si>
  <si>
    <t>33- فروش کالا و خدمات</t>
  </si>
  <si>
    <t>33-1</t>
  </si>
  <si>
    <t>33-2</t>
  </si>
  <si>
    <t>33-1- درآمد حاصل از خدمات شامل اقلام زیر می‌باشد:</t>
  </si>
  <si>
    <t>33-2- درآمد حاصل از فروش کالا ( دارو )  شامل اقلام زیر می‌باشد:</t>
  </si>
  <si>
    <t>34- جرایم و خسارات</t>
  </si>
  <si>
    <t>35- سایر درآمدها</t>
  </si>
  <si>
    <t>36- وجوه ارسالی به خزانه</t>
  </si>
  <si>
    <t>37- تعدیلات سنواتی</t>
  </si>
  <si>
    <t>37-1- به منظور ارائه تصویری مناسب از وضعیت مالی و نتایج عملیات، برخی اقلام مقایسه‌ای مربوط در صورت‌های مالی مقایسه‌ای به شرح ذیل بابت تعدیلات سنواتی و یا اصلاحات طبقه بندی، اصلاح و ارائه مجدد شده است و به همین دلیل اقلام مقایسه‌ای زیر بعضا با صورت‌های مالی ارائه شده در سال مالی قبل مطابقت ندارد.</t>
  </si>
  <si>
    <t>38- مقایسه بودجه و عملکرد دریافتی از محل منابع عمومی</t>
  </si>
  <si>
    <t>38-1-مبلغ8،115،959 میلیون ریال از دریافتی از محل اعتبارات هزینه به صورت حقوق و مبلغ 159،706 میلیون ریال 1/5برابر بازنشستگی و حق درمان و مبلغ157،932میلیون ریال از منبع مزبور به صورت اوراق تسویه و مبلغ 434،845 میلیون ریال دریافتی از محل سایرو مبلغ 1،717،395 میلیون ریال ردیف ابلاغی دریافت شده است مضافا از رقم خالص تغییرات مبلغ 255،017 به صورت کسر قانون بودجه و مبلغ 305،270 میلیون ریال به صورت متمم می باشد.</t>
  </si>
  <si>
    <t>38-2-مبلغ862،051 میلیون ریال از دریافتی از محل اعتبارات تملک داراییهای سرمایه ای و تملک اختصاصی به صورت نقدی و مبلغ 34،081 میلیون ریال از منبع مزبور به صورت اسناد تسویه و مبلغ 656،652 به صورت اسناد خزانه دریافت شده است.</t>
  </si>
  <si>
    <t>39 دریافتی از محل منابع اختصاصی</t>
  </si>
  <si>
    <t>39-1-اعتبارات اختصاصی این دانشگاه برای پیشبرد اهداف و وظایفی است که دولت برای دانشگاه ها در نظرگرفته است ازجمله ارتقا بهداشت و آموزش جامعه و درمان بیماران،پوشش فراگیر و دسترسی عادلانه آحاد جامعه به خدمات و مراقبت های سلامت ،افزایش امید به زندگی،کاهش بارناشی از بیماری های غیرواگیر و عوامل خطر اهداف و سیاست های بودجه ای می باشد.</t>
  </si>
  <si>
    <t>39-2-درآمدهای  اختصاصی در تاریخ1402/03/06 و آخرین تغییرات در پیش بینی آن در تاریخ1402/12/24به تصویب رسیده است.</t>
  </si>
  <si>
    <t>39-3-مبلغ1،041،228میلیون ریال تفاوت در پیش بینی اولیه و نهایی  از محل درآمدهای اختصاصی به دلیل کسر ازقانون بودجه به مبلغ 117،750 میلیون ریال و 442،269 میلیون ریال ابلاغی اختصاصی و 716،709 میلیون ریال عدم وصول ازسازمان های بیمه گر می باشد می باشد.</t>
  </si>
  <si>
    <t>39-4-مبلغ860،531 میلیون ریال تفاوت در پیش بینی اولیه و نهایی از محل واگذاری داراییهای سرمایه ای به دلیل کسر از قانون بودجه به مبلغ 30،425 میلیون ریال و مبلغ 34،081 میلیون ریال تهاتر و268،135 میلیون ریال اعتبارات موضوع قانون استفاده متوازن از امکانات کشور و مبلغ 133،940 میلیون ریال متمم بودجه  و مبلغ 454،800 میلیون ریال ابلاغی می باشد.</t>
  </si>
  <si>
    <t>39-5-صورت تطبیق عملکرد بر مبناي قابل مقایسه منابع حاصل از درآمدهاي اختصاصي با مبالغ مندرج در صورت تغییرات در وضعیت مالي</t>
  </si>
  <si>
    <t>40- مصارف هزینه ای</t>
  </si>
  <si>
    <t>40-1- اهداف و سیاست های بودجه ای</t>
  </si>
  <si>
    <t>40-2- مقایسه بودجه اولیه و نهایی اعتبارات هزینه-عمومی</t>
  </si>
  <si>
    <t>40-2-1- بودجه اولیه اعتبارات هزینه-عمومی در تاریخ 1402/03/06 و آخرین متمم بودجه و اصلاحات بودجه تاریخ  1402/12/28 به تصویب رسیده است.</t>
  </si>
  <si>
    <t>40-3- مقایسه بودجه اولیه و نهایی اعتبارات هزینه-اختصاصی</t>
  </si>
  <si>
    <t>40-3-1- بودجه اولیه اعتبارات هزینه-اختصاصی در تاریخ 1402/06/03 و آخرین متمم بودجه و اصلاحات بودجه  در تاریخ 1402/12/24 به تصویب رسیده است.</t>
  </si>
  <si>
    <t>40-4- مقایسه بودجه نهایی و عملکرد و هزینه های عمومی</t>
  </si>
  <si>
    <t>40-5- مقایسه بودجه نهایی و عملکرد هزینه های اختصاصی</t>
  </si>
  <si>
    <t>41- تملک دارایی های سرمایه ای</t>
  </si>
  <si>
    <t>41-1- اهداف و سیاست های بودجه ای</t>
  </si>
  <si>
    <t>41-2- مقایسه بودجه اولیه و نهایی اعتبارات تملک دارایی های سرمایه ای-عمومی</t>
  </si>
  <si>
    <t>41-2-1- بودجه اولیه اعتبارات تملک دارایی های سرمایه ای-عمومی در تاریخ 1403/03/06 و آخرین متمم بودجه و اصلاحات بودجه در تاریخ 1402/12/24به تصویب رسیده است.</t>
  </si>
  <si>
    <t>41-3- مقایسه بودجه اولیه و نهایی اعتبارات تملک دارایی های سرمایه ای-اختصاصی</t>
  </si>
  <si>
    <t>41-4- مقایسه بودجه نهایی و عملکرد وتملک داراییهای سرمایه ای-عمومی</t>
  </si>
  <si>
    <t>41-5- مقایسه بودجه نهایی و عملکرد تملک داراییهای سرمایه ای-اختصاصی</t>
  </si>
  <si>
    <t>42- وجوه انتقالی از سال های قبل</t>
  </si>
  <si>
    <t>42-1- مبلغ 670،036میلیون ریال از وجوه انتقالی از سال قبل به صورت نقدی و مبلغ 23،377 میلیون ریال از منبع مزبور به صورت اوراق بوده است.</t>
  </si>
  <si>
    <t>43- مصارف از محل وجوه انتقالی</t>
  </si>
  <si>
    <t>43-1- مقایسه بودجه نهایی و عملکرد هزینه های عمومی از محل وجوه انتقالی</t>
  </si>
  <si>
    <t>43-2- مقایسه بودجه نهایی و عملکرد هزینه های اختصاصی از محل وجوه انتقالی</t>
  </si>
  <si>
    <t>43-3- مقایسه بودجه نهایی و عملکرد تملک دارایی های سرمایه ای عمومی از محل وجوه انتقالی</t>
  </si>
  <si>
    <t>43-4- مقایسه بودجه نهایی و عملکرد تملک داراییهای سرمایه ای اختصاصی از محل وجوه انتقالی</t>
  </si>
  <si>
    <t>44-صورت تطبیق عملکرد بر مبنای قابل مقایسه مصارف هزینه ای با مبالغ مندرج در صورت تغییرات در وضعیت مالی</t>
  </si>
  <si>
    <t>45- حساب‌هاي انتظامي</t>
  </si>
  <si>
    <t>45-1</t>
  </si>
  <si>
    <t>45-2</t>
  </si>
  <si>
    <t>45-3</t>
  </si>
  <si>
    <t>45-1- حساب انتظامي- تضمين‌های دریافتی به‌شرح زیر است:</t>
  </si>
  <si>
    <t>45-2- حساب انتظامي- کنترل قراردادها  به تفکیک سال به شرح زير است:</t>
  </si>
  <si>
    <t>45-3- حساب انتظامي- پیش پرداخت بابت عملیات سرمایه‎ای به تفکیک سال به شرح زير است:</t>
  </si>
  <si>
    <t>46- تعهدات، بدهی‎های احتمالی و دارایی‎های احتمالی</t>
  </si>
  <si>
    <t>46-1- تعهدات سرمایه‎ای ناشی از قراردادهای منعقده و مصوب در تاریخ ترازنامه به شرح زیر است:</t>
  </si>
  <si>
    <t>46-2- بدهی‎های احتمالی شامل موارد زیر است:</t>
  </si>
  <si>
    <t>46-2-3 مانده حساب فوق  بابت بهره وری کارکنان فنی مرکز فوریت های پزشکی و حق الزحمه دستورالعمل ترویج زایمان طبیعی و عوارض ساختمان های دانشگاه می باشد.</t>
  </si>
  <si>
    <t>47- معاملات با اشخاص وابسته</t>
  </si>
  <si>
    <t>47-1معاملات انجام شده با اشخاص وابسته طی دوره مالی مورد گزارش به شرح ذیل می باشد :</t>
  </si>
  <si>
    <t>47-2مانده حساب های نهایی اشخاص وابسته به شرح زیر قابل تفکیک می باشد:</t>
  </si>
  <si>
    <r>
      <rPr>
        <b/>
        <sz val="12"/>
        <color theme="1"/>
        <rFont val="B Zar"/>
        <charset val="178"/>
      </rPr>
      <t>48- تکالیف هیات امنا در سنوات قبل و اقدامات صورت گرفته توسط دانشگاه :</t>
    </r>
    <r>
      <rPr>
        <sz val="12"/>
        <color theme="1"/>
        <rFont val="B Zar"/>
        <charset val="178"/>
      </rPr>
      <t xml:space="preserve">
کلیه تکالیف مشخص شده در صورت جلسه هیات امنا دانشگاه علوم پزشکی و خدمات بهداشتی درمانی سمنان  به شرح پیوست اجرا گردید.</t>
    </r>
  </si>
  <si>
    <t xml:space="preserve">49- دریافتی و هزینه کرد وجوه دارویی موضوع بند ب تبصره 17 قانون بودجه سال1402 : </t>
  </si>
  <si>
    <t>49-1- دانشگاه در سال مالی مورد گزارش مبلغ510،974 میلیون ریال دریافتی از محل عملکرد دارویی داشته که از این مبلغ 439،684 میلیون ریال دریافتی در حساب دارویی و مبلغ71،290 میلیون ریال دریافتی از بابت طرح دارویارمی باشد.  مبلغ494،570میلیون ریال  از وجوه دریافتی سال جاری و مبلغ1،820 میلیون ریال انتقالی از عملکرد دارویی  (در مجموع496،390 میلیون ریال ) به شرکتهای دارویی پرداخت شده و مانده وجوه نزد دانشگاه در پایان سال  به مبلغ کل16،403میلیون ریال  در حساب دارویی می باشد.</t>
  </si>
  <si>
    <t>12-58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</si>
</sst>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3" formatCode="_(* #,##0.00_);_(* \(#,##0.00\);_(* &quot;-&quot;??_);_(@_)"/>
    <numFmt numFmtId="164" formatCode="_-* #,##0_-;_-* #,##0\-;_-* &quot;-&quot;_-;_-@_-"/>
    <numFmt numFmtId="165" formatCode="_-* #,##0.00_-;_-* #,##0.00\-;_-* &quot;-&quot;??_-;_-@_-"/>
    <numFmt numFmtId="166" formatCode="_-* #,##0_-;_-* #,##0\-;_-* &quot;-&quot;??_-;_-@_-"/>
    <numFmt numFmtId="167" formatCode="_-* #,##0.00_-;\-* #,##0.00_-;_-* &quot;-&quot;??_-;_-@_-"/>
    <numFmt numFmtId="168" formatCode="#,###,,"/>
    <numFmt numFmtId="169" formatCode="0_);\(0\)"/>
    <numFmt numFmtId="170" formatCode="#,###,,_ ;\(#,###,,\)\ "/>
    <numFmt numFmtId="171" formatCode="#,###,,_);\(#,###,,\)"/>
    <numFmt numFmtId="172" formatCode="#,###,,\ ;[Red]\(#,###,,\);\-\ ;"/>
    <numFmt numFmtId="173" formatCode="0_ ;\-0\ "/>
    <numFmt numFmtId="174" formatCode="#,##0_-;\(#,##0\)"/>
  </numFmts>
  <fonts count="104">
    <font>
      <sz val="11"/>
      <color theme="1"/>
      <name val="Calibri"/>
      <family val="2"/>
      <charset val="178"/>
      <scheme val="minor"/>
    </font>
    <font>
      <sz val="11"/>
      <color theme="1"/>
      <name val="Calibri"/>
      <family val="2"/>
      <scheme val="minor"/>
    </font>
    <font>
      <sz val="11"/>
      <color theme="1"/>
      <name val="Calibri"/>
      <family val="2"/>
      <scheme val="minor"/>
    </font>
    <font>
      <b/>
      <sz val="11"/>
      <color theme="1"/>
      <name val="B Zar"/>
      <charset val="178"/>
    </font>
    <font>
      <b/>
      <sz val="12"/>
      <color theme="1"/>
      <name val="B Zar"/>
      <charset val="178"/>
    </font>
    <font>
      <sz val="12"/>
      <color theme="1"/>
      <name val="B Zar"/>
      <charset val="178"/>
    </font>
    <font>
      <sz val="12"/>
      <color rgb="FF000000"/>
      <name val="B Zar"/>
      <charset val="178"/>
    </font>
    <font>
      <b/>
      <sz val="14"/>
      <color theme="1"/>
      <name val="B Zar"/>
      <charset val="178"/>
    </font>
    <font>
      <sz val="11"/>
      <color theme="1"/>
      <name val="Calibri"/>
      <family val="2"/>
      <charset val="178"/>
      <scheme val="minor"/>
    </font>
    <font>
      <sz val="12"/>
      <name val="B Zar"/>
      <charset val="178"/>
    </font>
    <font>
      <sz val="10"/>
      <name val="Arial"/>
      <family val="2"/>
    </font>
    <font>
      <b/>
      <u/>
      <sz val="11"/>
      <name val="B Zar"/>
      <charset val="178"/>
    </font>
    <font>
      <sz val="11"/>
      <name val="B Zar"/>
      <charset val="178"/>
    </font>
    <font>
      <b/>
      <sz val="11"/>
      <name val="B Zar"/>
      <charset val="178"/>
    </font>
    <font>
      <u/>
      <sz val="11"/>
      <name val="B Zar"/>
      <charset val="178"/>
    </font>
    <font>
      <sz val="11"/>
      <name val="Tahoma"/>
      <family val="2"/>
    </font>
    <font>
      <sz val="10"/>
      <name val="B Zar"/>
      <charset val="178"/>
    </font>
    <font>
      <b/>
      <u/>
      <sz val="12"/>
      <name val="B Zar"/>
      <charset val="178"/>
    </font>
    <font>
      <b/>
      <sz val="12"/>
      <name val="B Zar"/>
      <charset val="178"/>
    </font>
    <font>
      <u/>
      <sz val="12"/>
      <name val="B Zar"/>
      <charset val="178"/>
    </font>
    <font>
      <sz val="14"/>
      <name val="B Zar"/>
      <charset val="178"/>
    </font>
    <font>
      <sz val="11"/>
      <color theme="1"/>
      <name val="Times New Roman"/>
      <family val="1"/>
    </font>
    <font>
      <sz val="11"/>
      <color theme="1"/>
      <name val="B Nazanin"/>
      <charset val="178"/>
    </font>
    <font>
      <b/>
      <u/>
      <sz val="13"/>
      <name val="B Zar"/>
      <charset val="178"/>
    </font>
    <font>
      <sz val="13"/>
      <name val="B Zar"/>
      <charset val="178"/>
    </font>
    <font>
      <b/>
      <sz val="13"/>
      <name val="B Zar"/>
      <charset val="178"/>
    </font>
    <font>
      <sz val="13"/>
      <color theme="1"/>
      <name val="B Zar"/>
      <charset val="178"/>
    </font>
    <font>
      <sz val="12"/>
      <color rgb="FFFF0000"/>
      <name val="B Zar"/>
      <charset val="178"/>
    </font>
    <font>
      <sz val="13"/>
      <color rgb="FF000000"/>
      <name val="B Nazanin"/>
      <charset val="178"/>
    </font>
    <font>
      <sz val="13"/>
      <color theme="1"/>
      <name val="B Nazanin"/>
      <charset val="178"/>
    </font>
    <font>
      <sz val="12"/>
      <name val="B Nazanin"/>
      <charset val="178"/>
    </font>
    <font>
      <b/>
      <sz val="11"/>
      <color rgb="FF000000"/>
      <name val="B Zar"/>
      <charset val="178"/>
    </font>
    <font>
      <sz val="12"/>
      <color rgb="FF000000"/>
      <name val="B Nazanin"/>
      <charset val="178"/>
    </font>
    <font>
      <sz val="11"/>
      <color rgb="FF000000"/>
      <name val="B Nazanin"/>
      <charset val="178"/>
    </font>
    <font>
      <b/>
      <sz val="12"/>
      <color rgb="FFFF0000"/>
      <name val="B Zar"/>
      <charset val="178"/>
    </font>
    <font>
      <sz val="11"/>
      <color rgb="FF92D050"/>
      <name val="B Zar"/>
      <charset val="178"/>
    </font>
    <font>
      <sz val="14"/>
      <color theme="1"/>
      <name val="B Zar"/>
      <charset val="178"/>
    </font>
    <font>
      <b/>
      <sz val="13"/>
      <color theme="1"/>
      <name val="B Nazanin"/>
      <charset val="178"/>
    </font>
    <font>
      <b/>
      <sz val="11"/>
      <color theme="1"/>
      <name val="B Nazanin"/>
      <charset val="178"/>
    </font>
    <font>
      <b/>
      <sz val="13"/>
      <color theme="1"/>
      <name val="B Fantezy"/>
      <charset val="178"/>
    </font>
    <font>
      <sz val="13"/>
      <name val="B Nazanin"/>
      <charset val="178"/>
    </font>
    <font>
      <sz val="11"/>
      <name val="B Nazanin"/>
      <charset val="178"/>
    </font>
    <font>
      <sz val="12"/>
      <color theme="1"/>
      <name val="B Nazanin"/>
      <charset val="178"/>
    </font>
    <font>
      <sz val="10"/>
      <color rgb="FF000000"/>
      <name val="B Nazanin"/>
      <charset val="178"/>
    </font>
    <font>
      <sz val="10"/>
      <color theme="1"/>
      <name val="B Nazanin"/>
      <charset val="178"/>
    </font>
    <font>
      <sz val="10"/>
      <name val="B Nazanin"/>
      <charset val="178"/>
    </font>
    <font>
      <sz val="11"/>
      <color rgb="FF000000"/>
      <name val="B Zar"/>
      <charset val="178"/>
    </font>
    <font>
      <sz val="11"/>
      <color theme="1"/>
      <name val="B Zar"/>
      <charset val="178"/>
    </font>
    <font>
      <b/>
      <sz val="11"/>
      <name val="B Nazanin"/>
      <charset val="178"/>
    </font>
    <font>
      <b/>
      <sz val="10"/>
      <name val="B Nazanin"/>
      <charset val="178"/>
    </font>
    <font>
      <b/>
      <sz val="10"/>
      <name val="B Zar"/>
      <charset val="178"/>
    </font>
    <font>
      <b/>
      <sz val="10"/>
      <name val="Times New Roman"/>
      <family val="1"/>
    </font>
    <font>
      <b/>
      <sz val="11"/>
      <name val="B Titr"/>
      <charset val="178"/>
    </font>
    <font>
      <b/>
      <sz val="12"/>
      <name val="B Titr"/>
      <charset val="178"/>
    </font>
    <font>
      <b/>
      <sz val="10"/>
      <name val="B Titr"/>
      <charset val="178"/>
    </font>
    <font>
      <sz val="11"/>
      <name val="B Titr"/>
      <charset val="178"/>
    </font>
    <font>
      <b/>
      <sz val="14"/>
      <name val="B Zar"/>
      <charset val="178"/>
    </font>
    <font>
      <b/>
      <u/>
      <sz val="13"/>
      <name val="B Titr"/>
      <charset val="178"/>
    </font>
    <font>
      <b/>
      <sz val="11"/>
      <color theme="1"/>
      <name val="B Titr"/>
      <charset val="178"/>
    </font>
    <font>
      <b/>
      <sz val="13"/>
      <color theme="1"/>
      <name val="B Zar"/>
      <charset val="178"/>
    </font>
    <font>
      <b/>
      <sz val="10"/>
      <color theme="1"/>
      <name val="B Titr"/>
      <charset val="178"/>
    </font>
    <font>
      <sz val="10"/>
      <name val="B Titr"/>
      <charset val="178"/>
    </font>
    <font>
      <b/>
      <sz val="10"/>
      <color rgb="FF000000"/>
      <name val="B Zar"/>
      <charset val="178"/>
    </font>
    <font>
      <sz val="11"/>
      <color rgb="FF000000"/>
      <name val="Calibri"/>
      <family val="2"/>
    </font>
    <font>
      <b/>
      <sz val="9"/>
      <name val="B Titr"/>
      <charset val="178"/>
    </font>
    <font>
      <sz val="9"/>
      <name val="B Titr"/>
      <charset val="178"/>
    </font>
    <font>
      <b/>
      <sz val="12"/>
      <color rgb="FF000000"/>
      <name val="B Zar"/>
      <charset val="178"/>
    </font>
    <font>
      <b/>
      <sz val="9"/>
      <name val="B Zar"/>
      <charset val="178"/>
    </font>
    <font>
      <b/>
      <sz val="9"/>
      <name val="Times New Roman"/>
      <family val="1"/>
    </font>
    <font>
      <b/>
      <sz val="14"/>
      <name val="B Titr"/>
      <charset val="178"/>
    </font>
    <font>
      <sz val="12"/>
      <color theme="1"/>
      <name val="Calibri"/>
      <family val="2"/>
      <charset val="178"/>
      <scheme val="minor"/>
    </font>
    <font>
      <sz val="9"/>
      <name val="B Zar"/>
      <charset val="178"/>
    </font>
    <font>
      <b/>
      <sz val="10"/>
      <color theme="1"/>
      <name val="B Zar"/>
      <charset val="178"/>
    </font>
    <font>
      <b/>
      <sz val="13"/>
      <name val="B Titr"/>
      <charset val="178"/>
    </font>
    <font>
      <sz val="10"/>
      <color theme="1"/>
      <name val="B Zar"/>
      <charset val="178"/>
    </font>
    <font>
      <u/>
      <sz val="11"/>
      <color theme="10"/>
      <name val="Calibri"/>
      <family val="2"/>
      <charset val="178"/>
      <scheme val="minor"/>
    </font>
    <font>
      <b/>
      <sz val="11"/>
      <name val="Calibri"/>
      <family val="2"/>
      <charset val="178"/>
      <scheme val="minor"/>
    </font>
    <font>
      <b/>
      <sz val="16"/>
      <name val="B Roya"/>
      <charset val="178"/>
    </font>
    <font>
      <sz val="16"/>
      <name val="B Zar"/>
      <charset val="178"/>
    </font>
    <font>
      <sz val="8"/>
      <color theme="1"/>
      <name val="B Zar"/>
      <charset val="178"/>
    </font>
    <font>
      <sz val="8"/>
      <name val="B Zar"/>
      <charset val="178"/>
    </font>
    <font>
      <i/>
      <sz val="12"/>
      <name val="B Zar"/>
      <charset val="178"/>
    </font>
    <font>
      <sz val="16"/>
      <name val="B Nazanin"/>
      <charset val="178"/>
    </font>
    <font>
      <b/>
      <sz val="24"/>
      <name val="B Nazanin"/>
      <charset val="178"/>
    </font>
    <font>
      <b/>
      <sz val="24"/>
      <color theme="1"/>
      <name val="B Nazanin"/>
      <charset val="178"/>
    </font>
    <font>
      <b/>
      <sz val="16"/>
      <name val="B Zar"/>
      <charset val="178"/>
    </font>
    <font>
      <b/>
      <u/>
      <sz val="16"/>
      <name val="B Zar"/>
      <charset val="178"/>
    </font>
    <font>
      <b/>
      <u/>
      <sz val="18"/>
      <name val="B Zar"/>
      <charset val="178"/>
    </font>
    <font>
      <u/>
      <sz val="16"/>
      <name val="B Zar"/>
      <charset val="178"/>
    </font>
    <font>
      <sz val="16"/>
      <color theme="1"/>
      <name val="B Zar"/>
      <charset val="178"/>
    </font>
    <font>
      <sz val="16"/>
      <color rgb="FFFF0000"/>
      <name val="B Zar"/>
      <charset val="178"/>
    </font>
    <font>
      <sz val="11"/>
      <color rgb="FF000000"/>
      <name val="Calibri"/>
      <family val="2"/>
      <charset val="178"/>
      <scheme val="minor"/>
    </font>
    <font>
      <sz val="48"/>
      <name val="B Zar"/>
      <charset val="178"/>
    </font>
    <font>
      <b/>
      <sz val="48"/>
      <color theme="1"/>
      <name val="B Nazanin"/>
      <charset val="178"/>
    </font>
    <font>
      <sz val="72"/>
      <name val="B Zar"/>
      <charset val="178"/>
    </font>
    <font>
      <sz val="18"/>
      <name val="B Zar"/>
      <charset val="178"/>
    </font>
    <font>
      <sz val="18"/>
      <color theme="1"/>
      <name val="Calibri"/>
      <family val="2"/>
      <charset val="178"/>
      <scheme val="minor"/>
    </font>
    <font>
      <sz val="18"/>
      <name val="B Nazanin"/>
      <charset val="178"/>
    </font>
    <font>
      <b/>
      <sz val="72"/>
      <color theme="1"/>
      <name val="B Nazanin"/>
      <charset val="178"/>
    </font>
    <font>
      <b/>
      <sz val="12"/>
      <name val="B Roya"/>
      <charset val="178"/>
    </font>
    <font>
      <sz val="18"/>
      <color theme="1"/>
      <name val="B Zar"/>
      <charset val="178"/>
    </font>
    <font>
      <sz val="8"/>
      <name val="Calibri"/>
      <family val="2"/>
      <charset val="178"/>
      <scheme val="minor"/>
    </font>
    <font>
      <b/>
      <sz val="72"/>
      <name val="B Nazanin"/>
      <charset val="178"/>
    </font>
    <font>
      <sz val="9"/>
      <color theme="1"/>
      <name val="Zeena"/>
      <charset val="2"/>
    </font>
  </fonts>
  <fills count="14">
    <fill>
      <patternFill patternType="none"/>
    </fill>
    <fill>
      <patternFill patternType="gray125"/>
    </fill>
    <fill>
      <patternFill patternType="mediumGray"/>
    </fill>
    <fill>
      <patternFill patternType="solid">
        <fgColor theme="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rgb="FF00FF99"/>
        <bgColor indexed="64"/>
      </patternFill>
    </fill>
    <fill>
      <patternFill patternType="solid">
        <fgColor rgb="FF92D050"/>
        <bgColor indexed="64"/>
      </patternFill>
    </fill>
    <fill>
      <patternFill patternType="solid">
        <fgColor rgb="FFFFFF00"/>
        <bgColor indexed="64"/>
      </patternFill>
    </fill>
    <fill>
      <patternFill patternType="solid">
        <fgColor theme="9" tint="-0.249977111117893"/>
        <bgColor indexed="64"/>
      </patternFill>
    </fill>
    <fill>
      <patternFill patternType="solid">
        <fgColor rgb="FF00DE64"/>
        <bgColor indexed="64"/>
      </patternFill>
    </fill>
    <fill>
      <patternFill patternType="solid">
        <fgColor theme="6" tint="0.39997558519241921"/>
        <bgColor indexed="64"/>
      </patternFill>
    </fill>
    <fill>
      <patternFill patternType="solid">
        <fgColor theme="9" tint="0.79998168889431442"/>
        <bgColor indexed="64"/>
      </patternFill>
    </fill>
  </fills>
  <borders count="3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right/>
      <top/>
      <bottom style="double">
        <color indexed="64"/>
      </bottom>
      <diagonal/>
    </border>
    <border>
      <left/>
      <right/>
      <top style="thin">
        <color theme="0" tint="-0.14999847407452621"/>
      </top>
      <bottom style="thin">
        <color theme="0" tint="-0.14999847407452621"/>
      </bottom>
      <diagonal/>
    </border>
    <border>
      <left/>
      <right/>
      <top style="medium">
        <color indexed="64"/>
      </top>
      <bottom/>
      <diagonal/>
    </border>
    <border>
      <left style="thin">
        <color auto="1"/>
      </left>
      <right/>
      <top style="thin">
        <color indexed="64"/>
      </top>
      <bottom/>
      <diagonal/>
    </border>
    <border>
      <left/>
      <right style="thin">
        <color auto="1"/>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8">
    <xf numFmtId="0" fontId="0" fillId="0" borderId="0"/>
    <xf numFmtId="165" fontId="8" fillId="0" borderId="0" applyFont="0" applyFill="0" applyBorder="0" applyAlignment="0" applyProtection="0"/>
    <xf numFmtId="165" fontId="8" fillId="0" borderId="0" applyFont="0" applyFill="0" applyBorder="0" applyAlignment="0" applyProtection="0"/>
    <xf numFmtId="0" fontId="10" fillId="0" borderId="0"/>
    <xf numFmtId="0" fontId="2" fillId="0" borderId="0"/>
    <xf numFmtId="167" fontId="2" fillId="0" borderId="0" applyFont="0" applyFill="0" applyBorder="0" applyAlignment="0" applyProtection="0"/>
    <xf numFmtId="0" fontId="2" fillId="0" borderId="0"/>
    <xf numFmtId="0" fontId="2" fillId="0" borderId="0"/>
    <xf numFmtId="0" fontId="8" fillId="0" borderId="0"/>
    <xf numFmtId="0" fontId="63" fillId="0" borderId="0"/>
    <xf numFmtId="0" fontId="8" fillId="0" borderId="0"/>
    <xf numFmtId="165" fontId="10" fillId="0" borderId="0" applyFont="0" applyFill="0" applyBorder="0" applyAlignment="0" applyProtection="0"/>
    <xf numFmtId="41" fontId="10" fillId="0" borderId="0" applyFont="0" applyFill="0" applyBorder="0" applyAlignment="0" applyProtection="0"/>
    <xf numFmtId="164" fontId="8" fillId="0" borderId="0" applyFont="0" applyFill="0" applyBorder="0" applyAlignment="0" applyProtection="0"/>
    <xf numFmtId="0" fontId="75" fillId="0" borderId="0" applyNumberFormat="0" applyFill="0" applyBorder="0" applyAlignment="0" applyProtection="0"/>
    <xf numFmtId="0" fontId="1" fillId="0" borderId="0"/>
    <xf numFmtId="9" fontId="8" fillId="0" borderId="0" applyFont="0" applyFill="0" applyBorder="0" applyAlignment="0" applyProtection="0"/>
    <xf numFmtId="43" fontId="8" fillId="0" borderId="0" applyFont="0" applyFill="0" applyBorder="0" applyAlignment="0" applyProtection="0"/>
  </cellStyleXfs>
  <cellXfs count="946">
    <xf numFmtId="0" fontId="0" fillId="0" borderId="0" xfId="0"/>
    <xf numFmtId="37" fontId="9" fillId="0" borderId="0" xfId="0" applyNumberFormat="1" applyFont="1" applyAlignment="1">
      <alignment readingOrder="2"/>
    </xf>
    <xf numFmtId="37" fontId="9" fillId="0" borderId="0" xfId="0" applyNumberFormat="1" applyFont="1" applyAlignment="1">
      <alignment horizontal="center" vertical="center" readingOrder="2"/>
    </xf>
    <xf numFmtId="0" fontId="9" fillId="0" borderId="0" xfId="0" applyFont="1" applyAlignment="1">
      <alignment horizontal="right" vertical="center" shrinkToFit="1" readingOrder="2"/>
    </xf>
    <xf numFmtId="0" fontId="11" fillId="0" borderId="0" xfId="0" applyFont="1" applyAlignment="1">
      <alignment readingOrder="2"/>
    </xf>
    <xf numFmtId="37" fontId="12" fillId="0" borderId="0" xfId="0" applyNumberFormat="1" applyFont="1" applyAlignment="1">
      <alignment readingOrder="2"/>
    </xf>
    <xf numFmtId="37" fontId="13" fillId="0" borderId="0" xfId="0" applyNumberFormat="1" applyFont="1" applyAlignment="1">
      <alignment readingOrder="2"/>
    </xf>
    <xf numFmtId="37" fontId="11" fillId="0" borderId="0" xfId="0" applyNumberFormat="1" applyFont="1" applyAlignment="1">
      <alignment horizontal="center" readingOrder="2"/>
    </xf>
    <xf numFmtId="37" fontId="14" fillId="0" borderId="0" xfId="0" applyNumberFormat="1" applyFont="1" applyAlignment="1">
      <alignment horizontal="center" shrinkToFit="1" readingOrder="2"/>
    </xf>
    <xf numFmtId="37" fontId="14" fillId="0" borderId="0" xfId="0" applyNumberFormat="1" applyFont="1" applyAlignment="1">
      <alignment horizontal="center" readingOrder="2"/>
    </xf>
    <xf numFmtId="37" fontId="14" fillId="0" borderId="0" xfId="0" applyNumberFormat="1" applyFont="1" applyAlignment="1">
      <alignment horizontal="center" vertical="center" readingOrder="2"/>
    </xf>
    <xf numFmtId="37" fontId="13" fillId="0" borderId="0" xfId="0" applyNumberFormat="1" applyFont="1" applyAlignment="1">
      <alignment horizontal="right" readingOrder="2"/>
    </xf>
    <xf numFmtId="37" fontId="13" fillId="0" borderId="0" xfId="0" applyNumberFormat="1" applyFont="1" applyAlignment="1">
      <alignment horizontal="center" readingOrder="2"/>
    </xf>
    <xf numFmtId="37" fontId="13" fillId="0" borderId="0" xfId="0" applyNumberFormat="1" applyFont="1" applyAlignment="1">
      <alignment horizontal="center" vertical="center" readingOrder="2"/>
    </xf>
    <xf numFmtId="37" fontId="12" fillId="0" borderId="0" xfId="0" applyNumberFormat="1" applyFont="1" applyAlignment="1">
      <alignment horizontal="center" readingOrder="2"/>
    </xf>
    <xf numFmtId="37" fontId="12" fillId="0" borderId="0" xfId="0" applyNumberFormat="1" applyFont="1" applyAlignment="1">
      <alignment horizontal="center" vertical="center" readingOrder="2"/>
    </xf>
    <xf numFmtId="37" fontId="12" fillId="0" borderId="0" xfId="0" applyNumberFormat="1" applyFont="1" applyAlignment="1">
      <alignment horizontal="center" shrinkToFit="1" readingOrder="2"/>
    </xf>
    <xf numFmtId="49" fontId="12" fillId="0" borderId="0" xfId="0" applyNumberFormat="1" applyFont="1" applyAlignment="1">
      <alignment horizontal="center" vertical="center" readingOrder="2"/>
    </xf>
    <xf numFmtId="49" fontId="12" fillId="0" borderId="0" xfId="0" applyNumberFormat="1" applyFont="1" applyAlignment="1">
      <alignment readingOrder="2"/>
    </xf>
    <xf numFmtId="37" fontId="12" fillId="0" borderId="0" xfId="0" applyNumberFormat="1" applyFont="1" applyAlignment="1">
      <alignment shrinkToFit="1" readingOrder="2"/>
    </xf>
    <xf numFmtId="37" fontId="12" fillId="0" borderId="0" xfId="0" applyNumberFormat="1" applyFont="1" applyAlignment="1">
      <alignment horizontal="center" vertical="center" wrapText="1" readingOrder="2"/>
    </xf>
    <xf numFmtId="37" fontId="12" fillId="0" borderId="0" xfId="0" applyNumberFormat="1" applyFont="1" applyAlignment="1">
      <alignment horizontal="right" indent="11" readingOrder="2"/>
    </xf>
    <xf numFmtId="37" fontId="12" fillId="0" borderId="0" xfId="0" applyNumberFormat="1" applyFont="1" applyAlignment="1">
      <alignment horizontal="right" readingOrder="2"/>
    </xf>
    <xf numFmtId="37" fontId="12" fillId="0" borderId="0" xfId="0" applyNumberFormat="1" applyFont="1" applyAlignment="1">
      <alignment horizontal="right" wrapText="1" readingOrder="2"/>
    </xf>
    <xf numFmtId="166" fontId="15" fillId="0" borderId="0" xfId="1" applyNumberFormat="1" applyFont="1"/>
    <xf numFmtId="0" fontId="17" fillId="0" borderId="0" xfId="0" applyFont="1" applyAlignment="1">
      <alignment readingOrder="2"/>
    </xf>
    <xf numFmtId="37" fontId="18" fillId="0" borderId="0" xfId="0" applyNumberFormat="1" applyFont="1" applyAlignment="1">
      <alignment readingOrder="2"/>
    </xf>
    <xf numFmtId="37" fontId="17" fillId="0" borderId="0" xfId="0" applyNumberFormat="1" applyFont="1" applyAlignment="1">
      <alignment horizontal="center" readingOrder="2"/>
    </xf>
    <xf numFmtId="37" fontId="19" fillId="0" borderId="0" xfId="0" applyNumberFormat="1" applyFont="1" applyAlignment="1">
      <alignment horizontal="center" shrinkToFit="1" readingOrder="2"/>
    </xf>
    <xf numFmtId="37" fontId="19" fillId="0" borderId="0" xfId="0" applyNumberFormat="1" applyFont="1" applyAlignment="1">
      <alignment horizontal="center" readingOrder="2"/>
    </xf>
    <xf numFmtId="37" fontId="19" fillId="0" borderId="0" xfId="0" applyNumberFormat="1" applyFont="1" applyAlignment="1">
      <alignment horizontal="center" vertical="center" readingOrder="2"/>
    </xf>
    <xf numFmtId="37" fontId="9" fillId="0" borderId="0" xfId="0" applyNumberFormat="1" applyFont="1" applyAlignment="1">
      <alignment horizontal="center" readingOrder="2"/>
    </xf>
    <xf numFmtId="49" fontId="9" fillId="0" borderId="1" xfId="0" applyNumberFormat="1" applyFont="1" applyBorder="1" applyAlignment="1">
      <alignment horizontal="center" vertical="center" readingOrder="2"/>
    </xf>
    <xf numFmtId="49" fontId="9" fillId="0" borderId="0" xfId="0" applyNumberFormat="1" applyFont="1" applyAlignment="1">
      <alignment horizontal="center" vertical="center" readingOrder="2"/>
    </xf>
    <xf numFmtId="49" fontId="9" fillId="0" borderId="0" xfId="0" applyNumberFormat="1" applyFont="1" applyAlignment="1">
      <alignment readingOrder="2"/>
    </xf>
    <xf numFmtId="37" fontId="9" fillId="0" borderId="0" xfId="0" applyNumberFormat="1" applyFont="1" applyAlignment="1">
      <alignment shrinkToFit="1" readingOrder="2"/>
    </xf>
    <xf numFmtId="0" fontId="23" fillId="0" borderId="0" xfId="0" applyFont="1" applyAlignment="1">
      <alignment readingOrder="2"/>
    </xf>
    <xf numFmtId="37" fontId="24" fillId="0" borderId="0" xfId="0" applyNumberFormat="1" applyFont="1" applyAlignment="1">
      <alignment readingOrder="2"/>
    </xf>
    <xf numFmtId="37" fontId="23" fillId="0" borderId="0" xfId="0" applyNumberFormat="1" applyFont="1" applyAlignment="1">
      <alignment shrinkToFit="1" readingOrder="2"/>
    </xf>
    <xf numFmtId="37" fontId="23" fillId="0" borderId="0" xfId="0" applyNumberFormat="1" applyFont="1" applyAlignment="1">
      <alignment horizontal="center" readingOrder="2"/>
    </xf>
    <xf numFmtId="37" fontId="25" fillId="0" borderId="0" xfId="0" applyNumberFormat="1" applyFont="1" applyAlignment="1">
      <alignment readingOrder="2"/>
    </xf>
    <xf numFmtId="0" fontId="26" fillId="0" borderId="0" xfId="0" applyFont="1"/>
    <xf numFmtId="0" fontId="26" fillId="0" borderId="0" xfId="0" applyFont="1" applyAlignment="1">
      <alignment wrapText="1" readingOrder="2"/>
    </xf>
    <xf numFmtId="37" fontId="20" fillId="0" borderId="0" xfId="0" applyNumberFormat="1" applyFont="1" applyAlignment="1">
      <alignment readingOrder="2"/>
    </xf>
    <xf numFmtId="0" fontId="9" fillId="0" borderId="0" xfId="0" applyFont="1" applyAlignment="1">
      <alignment vertical="center" shrinkToFit="1" readingOrder="2"/>
    </xf>
    <xf numFmtId="37" fontId="12" fillId="0" borderId="0" xfId="0" applyNumberFormat="1" applyFont="1" applyAlignment="1">
      <alignment horizontal="right" shrinkToFit="1" readingOrder="2"/>
    </xf>
    <xf numFmtId="0" fontId="12" fillId="0" borderId="0" xfId="0" applyFont="1" applyAlignment="1">
      <alignment vertical="center" shrinkToFit="1" readingOrder="2"/>
    </xf>
    <xf numFmtId="37" fontId="27" fillId="0" borderId="0" xfId="0" applyNumberFormat="1" applyFont="1" applyAlignment="1">
      <alignment horizontal="center" readingOrder="2"/>
    </xf>
    <xf numFmtId="37" fontId="27" fillId="0" borderId="0" xfId="0" applyNumberFormat="1" applyFont="1" applyAlignment="1">
      <alignment readingOrder="2"/>
    </xf>
    <xf numFmtId="49" fontId="9" fillId="0" borderId="0" xfId="0" applyNumberFormat="1" applyFont="1" applyAlignment="1">
      <alignment horizontal="center" readingOrder="2"/>
    </xf>
    <xf numFmtId="37" fontId="13" fillId="0" borderId="0" xfId="0" applyNumberFormat="1" applyFont="1" applyAlignment="1">
      <alignment shrinkToFit="1" readingOrder="2"/>
    </xf>
    <xf numFmtId="37" fontId="9" fillId="0" borderId="0" xfId="0" applyNumberFormat="1" applyFont="1" applyAlignment="1">
      <alignment horizontal="center" vertical="center" wrapText="1" shrinkToFit="1" readingOrder="2"/>
    </xf>
    <xf numFmtId="49" fontId="9" fillId="0" borderId="0" xfId="0" applyNumberFormat="1" applyFont="1" applyAlignment="1">
      <alignment horizontal="center" vertical="center" wrapText="1" readingOrder="2"/>
    </xf>
    <xf numFmtId="0" fontId="9" fillId="0" borderId="0" xfId="0" applyFont="1" applyAlignment="1">
      <alignment horizontal="center" vertical="center" shrinkToFit="1" readingOrder="2"/>
    </xf>
    <xf numFmtId="0" fontId="20" fillId="0" borderId="0" xfId="0" applyFont="1" applyAlignment="1">
      <alignment horizontal="center" vertical="center" shrinkToFit="1" readingOrder="2"/>
    </xf>
    <xf numFmtId="0" fontId="9" fillId="0" borderId="0" xfId="0" applyFont="1" applyAlignment="1">
      <alignment vertical="center" wrapText="1" readingOrder="2"/>
    </xf>
    <xf numFmtId="37" fontId="13" fillId="0" borderId="0" xfId="0" applyNumberFormat="1" applyFont="1" applyAlignment="1">
      <alignment horizontal="right" shrinkToFit="1" readingOrder="2"/>
    </xf>
    <xf numFmtId="37" fontId="12" fillId="0" borderId="0" xfId="0" applyNumberFormat="1" applyFont="1" applyAlignment="1">
      <alignment horizontal="center" vertical="center" shrinkToFit="1" readingOrder="2"/>
    </xf>
    <xf numFmtId="37" fontId="9" fillId="0" borderId="0" xfId="0" applyNumberFormat="1" applyFont="1" applyAlignment="1">
      <alignment horizontal="center" vertical="center" wrapText="1" readingOrder="2"/>
    </xf>
    <xf numFmtId="37" fontId="9" fillId="0" borderId="0" xfId="0" applyNumberFormat="1" applyFont="1" applyAlignment="1">
      <alignment horizontal="center" shrinkToFit="1" readingOrder="2"/>
    </xf>
    <xf numFmtId="0" fontId="9" fillId="0" borderId="0" xfId="0" applyFont="1" applyAlignment="1">
      <alignment horizontal="center" vertical="center" wrapText="1" readingOrder="2"/>
    </xf>
    <xf numFmtId="37" fontId="16" fillId="0" borderId="0" xfId="0" applyNumberFormat="1" applyFont="1" applyAlignment="1">
      <alignment vertical="center" readingOrder="2"/>
    </xf>
    <xf numFmtId="37" fontId="12" fillId="0" borderId="0" xfId="0" applyNumberFormat="1" applyFont="1" applyAlignment="1">
      <alignment vertical="center" readingOrder="2"/>
    </xf>
    <xf numFmtId="0" fontId="12" fillId="0" borderId="0" xfId="0" applyFont="1" applyAlignment="1">
      <alignment vertical="center" wrapText="1" readingOrder="2"/>
    </xf>
    <xf numFmtId="37" fontId="12" fillId="0" borderId="4" xfId="0" applyNumberFormat="1" applyFont="1" applyBorder="1" applyAlignment="1">
      <alignment horizontal="center" vertical="center" wrapText="1" readingOrder="2"/>
    </xf>
    <xf numFmtId="37" fontId="30" fillId="0" borderId="0" xfId="0" applyNumberFormat="1" applyFont="1" applyAlignment="1">
      <alignment readingOrder="2"/>
    </xf>
    <xf numFmtId="37" fontId="30" fillId="0" borderId="0" xfId="0" applyNumberFormat="1" applyFont="1" applyAlignment="1">
      <alignment horizontal="center" vertical="center" readingOrder="2"/>
    </xf>
    <xf numFmtId="0" fontId="9" fillId="0" borderId="0" xfId="0" applyFont="1" applyAlignment="1">
      <alignment horizontal="right" vertical="center" wrapText="1" readingOrder="2"/>
    </xf>
    <xf numFmtId="37" fontId="20" fillId="0" borderId="0" xfId="0" applyNumberFormat="1" applyFont="1" applyAlignment="1">
      <alignment horizontal="center" vertical="center" wrapText="1" readingOrder="2"/>
    </xf>
    <xf numFmtId="37" fontId="20" fillId="0" borderId="0" xfId="0" applyNumberFormat="1" applyFont="1" applyAlignment="1">
      <alignment horizontal="center" vertical="center" readingOrder="2"/>
    </xf>
    <xf numFmtId="0" fontId="9" fillId="0" borderId="1" xfId="0" applyFont="1" applyBorder="1" applyAlignment="1">
      <alignment horizontal="center" vertical="center" shrinkToFit="1" readingOrder="2"/>
    </xf>
    <xf numFmtId="37" fontId="18" fillId="0" borderId="0" xfId="0" applyNumberFormat="1" applyFont="1" applyAlignment="1">
      <alignment horizontal="right" shrinkToFit="1" readingOrder="2"/>
    </xf>
    <xf numFmtId="0" fontId="13" fillId="0" borderId="0" xfId="0" applyFont="1" applyAlignment="1">
      <alignment horizontal="right" shrinkToFit="1" readingOrder="2"/>
    </xf>
    <xf numFmtId="37" fontId="12" fillId="0" borderId="3" xfId="0" applyNumberFormat="1" applyFont="1" applyBorder="1" applyAlignment="1">
      <alignment horizontal="center" vertical="center" wrapText="1" readingOrder="2"/>
    </xf>
    <xf numFmtId="37" fontId="9" fillId="0" borderId="0" xfId="0" applyNumberFormat="1" applyFont="1" applyAlignment="1">
      <alignment horizontal="right" readingOrder="2"/>
    </xf>
    <xf numFmtId="37" fontId="9" fillId="0" borderId="0" xfId="0" applyNumberFormat="1" applyFont="1" applyAlignment="1">
      <alignment wrapText="1" readingOrder="2"/>
    </xf>
    <xf numFmtId="0" fontId="11" fillId="0" borderId="0" xfId="0" applyFont="1" applyAlignment="1">
      <alignment horizontal="right" shrinkToFit="1" readingOrder="2"/>
    </xf>
    <xf numFmtId="37" fontId="9" fillId="0" borderId="0" xfId="0" applyNumberFormat="1" applyFont="1" applyAlignment="1">
      <alignment horizontal="right" shrinkToFit="1" readingOrder="2"/>
    </xf>
    <xf numFmtId="0" fontId="48" fillId="0" borderId="0" xfId="4" applyFont="1" applyAlignment="1">
      <alignment vertical="center"/>
    </xf>
    <xf numFmtId="0" fontId="41" fillId="0" borderId="0" xfId="4" applyFont="1" applyAlignment="1">
      <alignment horizontal="center" vertical="center"/>
    </xf>
    <xf numFmtId="37" fontId="9" fillId="0" borderId="0" xfId="0" applyNumberFormat="1" applyFont="1" applyAlignment="1">
      <alignment horizontal="center" vertical="center" shrinkToFit="1" readingOrder="2"/>
    </xf>
    <xf numFmtId="0" fontId="13" fillId="0" borderId="0" xfId="0" applyFont="1" applyAlignment="1">
      <alignment readingOrder="2"/>
    </xf>
    <xf numFmtId="0" fontId="18" fillId="0" borderId="0" xfId="0" applyFont="1" applyAlignment="1">
      <alignment horizontal="right" shrinkToFit="1" readingOrder="2"/>
    </xf>
    <xf numFmtId="49" fontId="12" fillId="0" borderId="0" xfId="0" applyNumberFormat="1" applyFont="1" applyAlignment="1">
      <alignment horizontal="center" vertical="center" wrapText="1" readingOrder="2"/>
    </xf>
    <xf numFmtId="37" fontId="9" fillId="0" borderId="1" xfId="0" applyNumberFormat="1" applyFont="1" applyBorder="1" applyAlignment="1">
      <alignment horizontal="center" readingOrder="2"/>
    </xf>
    <xf numFmtId="37" fontId="50" fillId="0" borderId="0" xfId="0" applyNumberFormat="1" applyFont="1" applyAlignment="1">
      <alignment vertical="center" readingOrder="2"/>
    </xf>
    <xf numFmtId="37" fontId="9" fillId="0" borderId="0" xfId="0" applyNumberFormat="1" applyFont="1" applyAlignment="1">
      <alignment vertical="center" shrinkToFit="1" readingOrder="2"/>
    </xf>
    <xf numFmtId="0" fontId="9" fillId="0" borderId="0" xfId="0" applyFont="1" applyAlignment="1">
      <alignment horizontal="center" vertical="center" readingOrder="2"/>
    </xf>
    <xf numFmtId="0" fontId="9" fillId="0" borderId="9" xfId="0" applyFont="1" applyBorder="1" applyAlignment="1">
      <alignment horizontal="right" vertical="center" wrapText="1" readingOrder="2"/>
    </xf>
    <xf numFmtId="37" fontId="16" fillId="0" borderId="0" xfId="0" applyNumberFormat="1" applyFont="1" applyAlignment="1">
      <alignment readingOrder="2"/>
    </xf>
    <xf numFmtId="0" fontId="9" fillId="0" borderId="0" xfId="0" applyFont="1" applyAlignment="1">
      <alignment horizontal="right" vertical="center" readingOrder="2"/>
    </xf>
    <xf numFmtId="0" fontId="12" fillId="0" borderId="0" xfId="0" applyFont="1" applyAlignment="1">
      <alignment horizontal="center" vertical="center" shrinkToFit="1" readingOrder="2"/>
    </xf>
    <xf numFmtId="49" fontId="12" fillId="0" borderId="1" xfId="0" applyNumberFormat="1" applyFont="1" applyBorder="1" applyAlignment="1">
      <alignment horizontal="center" vertical="center" readingOrder="2"/>
    </xf>
    <xf numFmtId="37" fontId="9" fillId="0" borderId="0" xfId="0" applyNumberFormat="1" applyFont="1" applyAlignment="1">
      <alignment horizontal="right" vertical="center" shrinkToFit="1" readingOrder="2"/>
    </xf>
    <xf numFmtId="0" fontId="52" fillId="0" borderId="0" xfId="4" applyFont="1" applyAlignment="1">
      <alignment horizontal="center" vertical="center"/>
    </xf>
    <xf numFmtId="0" fontId="53" fillId="0" borderId="0" xfId="4" applyFont="1" applyAlignment="1">
      <alignment horizontal="center" vertical="center"/>
    </xf>
    <xf numFmtId="0" fontId="54" fillId="0" borderId="1" xfId="4" applyFont="1" applyBorder="1" applyAlignment="1">
      <alignment horizontal="center" vertical="center"/>
    </xf>
    <xf numFmtId="0" fontId="54" fillId="0" borderId="0" xfId="4" applyFont="1" applyAlignment="1">
      <alignment horizontal="center" vertical="center"/>
    </xf>
    <xf numFmtId="0" fontId="55" fillId="0" borderId="0" xfId="4" applyFont="1" applyAlignment="1">
      <alignment horizontal="center" vertical="center"/>
    </xf>
    <xf numFmtId="0" fontId="12" fillId="0" borderId="0" xfId="4" applyFont="1" applyAlignment="1">
      <alignment horizontal="center" vertical="center"/>
    </xf>
    <xf numFmtId="0" fontId="18" fillId="0" borderId="0" xfId="4" applyFont="1" applyAlignment="1">
      <alignment horizontal="right" vertical="center"/>
    </xf>
    <xf numFmtId="0" fontId="13" fillId="0" borderId="0" xfId="4" applyFont="1" applyAlignment="1">
      <alignment horizontal="center" vertical="center"/>
    </xf>
    <xf numFmtId="0" fontId="9" fillId="0" borderId="0" xfId="4" applyFont="1" applyAlignment="1">
      <alignment horizontal="right" vertical="center"/>
    </xf>
    <xf numFmtId="0" fontId="61" fillId="0" borderId="0" xfId="4" applyFont="1" applyAlignment="1">
      <alignment horizontal="center" vertical="center"/>
    </xf>
    <xf numFmtId="37" fontId="30" fillId="0" borderId="0" xfId="0" applyNumberFormat="1" applyFont="1" applyAlignment="1">
      <alignment horizontal="center" readingOrder="2"/>
    </xf>
    <xf numFmtId="37" fontId="50" fillId="0" borderId="0" xfId="0" applyNumberFormat="1" applyFont="1" applyAlignment="1">
      <alignment horizontal="center" vertical="center" readingOrder="2"/>
    </xf>
    <xf numFmtId="37" fontId="50" fillId="0" borderId="0" xfId="0" applyNumberFormat="1" applyFont="1" applyAlignment="1">
      <alignment horizontal="center" vertical="center" shrinkToFit="1" readingOrder="2"/>
    </xf>
    <xf numFmtId="49" fontId="50" fillId="0" borderId="0" xfId="0" applyNumberFormat="1" applyFont="1" applyAlignment="1">
      <alignment horizontal="center" vertical="center" readingOrder="2"/>
    </xf>
    <xf numFmtId="37" fontId="50" fillId="0" borderId="0" xfId="0" applyNumberFormat="1" applyFont="1" applyAlignment="1">
      <alignment vertical="center" shrinkToFit="1" readingOrder="2"/>
    </xf>
    <xf numFmtId="37" fontId="12" fillId="0" borderId="0" xfId="0" applyNumberFormat="1" applyFont="1" applyAlignment="1">
      <alignment horizontal="right" vertical="center" shrinkToFit="1" readingOrder="2"/>
    </xf>
    <xf numFmtId="37" fontId="12" fillId="0" borderId="1" xfId="0" applyNumberFormat="1" applyFont="1" applyBorder="1" applyAlignment="1">
      <alignment horizontal="center" vertical="center" wrapText="1" readingOrder="2"/>
    </xf>
    <xf numFmtId="37" fontId="16" fillId="0" borderId="0" xfId="0" applyNumberFormat="1" applyFont="1" applyAlignment="1">
      <alignment horizontal="center" vertical="center" wrapText="1" readingOrder="2"/>
    </xf>
    <xf numFmtId="0" fontId="13" fillId="0" borderId="0" xfId="0" applyFont="1" applyAlignment="1">
      <alignment horizontal="right" vertical="center" shrinkToFit="1" readingOrder="2"/>
    </xf>
    <xf numFmtId="0" fontId="24" fillId="0" borderId="0" xfId="0" applyFont="1" applyAlignment="1">
      <alignment readingOrder="2"/>
    </xf>
    <xf numFmtId="0" fontId="12" fillId="0" borderId="1" xfId="0" applyFont="1" applyBorder="1" applyAlignment="1">
      <alignment horizontal="center" readingOrder="2"/>
    </xf>
    <xf numFmtId="0" fontId="64" fillId="0" borderId="0" xfId="4" applyFont="1" applyAlignment="1">
      <alignment horizontal="center" vertical="center"/>
    </xf>
    <xf numFmtId="0" fontId="65" fillId="0" borderId="0" xfId="4" applyFont="1" applyAlignment="1">
      <alignment horizontal="center" vertical="center"/>
    </xf>
    <xf numFmtId="37" fontId="13" fillId="0" borderId="0" xfId="0" applyNumberFormat="1" applyFont="1" applyAlignment="1">
      <alignment horizontal="center" shrinkToFit="1" readingOrder="2"/>
    </xf>
    <xf numFmtId="0" fontId="47" fillId="0" borderId="0" xfId="0" applyFont="1" applyAlignment="1">
      <alignment horizontal="right" vertical="center" readingOrder="2"/>
    </xf>
    <xf numFmtId="0" fontId="9" fillId="0" borderId="1" xfId="0" applyFont="1" applyBorder="1" applyAlignment="1">
      <alignment horizontal="center" readingOrder="2"/>
    </xf>
    <xf numFmtId="37" fontId="16" fillId="0" borderId="1" xfId="0" applyNumberFormat="1" applyFont="1" applyBorder="1" applyAlignment="1">
      <alignment horizontal="center" vertical="center" wrapText="1" readingOrder="2"/>
    </xf>
    <xf numFmtId="0" fontId="36" fillId="0" borderId="0" xfId="0" applyFont="1" applyAlignment="1">
      <alignment horizontal="right" vertical="center" readingOrder="2"/>
    </xf>
    <xf numFmtId="0" fontId="36" fillId="0" borderId="0" xfId="0" applyFont="1" applyAlignment="1">
      <alignment horizontal="center" vertical="center" readingOrder="2"/>
    </xf>
    <xf numFmtId="37" fontId="24" fillId="0" borderId="1" xfId="0" applyNumberFormat="1" applyFont="1" applyBorder="1" applyAlignment="1">
      <alignment horizontal="center" readingOrder="2"/>
    </xf>
    <xf numFmtId="0" fontId="26" fillId="0" borderId="1" xfId="0" applyFont="1" applyBorder="1" applyAlignment="1">
      <alignment horizontal="center" vertical="center"/>
    </xf>
    <xf numFmtId="49" fontId="47" fillId="0" borderId="0" xfId="0" applyNumberFormat="1" applyFont="1" applyAlignment="1">
      <alignment horizontal="center" vertical="center"/>
    </xf>
    <xf numFmtId="0" fontId="26" fillId="0" borderId="0" xfId="0" applyFont="1" applyAlignment="1">
      <alignment wrapText="1"/>
    </xf>
    <xf numFmtId="49" fontId="47" fillId="0" borderId="0" xfId="0" applyNumberFormat="1" applyFont="1" applyAlignment="1">
      <alignment horizontal="center" vertical="center" wrapText="1"/>
    </xf>
    <xf numFmtId="0" fontId="26" fillId="0" borderId="0" xfId="0" applyFont="1" applyAlignment="1">
      <alignment horizontal="center" vertical="center"/>
    </xf>
    <xf numFmtId="37" fontId="24" fillId="0" borderId="0" xfId="0" applyNumberFormat="1" applyFont="1" applyAlignment="1">
      <alignment horizontal="center" readingOrder="2"/>
    </xf>
    <xf numFmtId="37" fontId="9" fillId="0" borderId="1" xfId="0" applyNumberFormat="1" applyFont="1" applyBorder="1" applyAlignment="1">
      <alignment horizontal="center" vertical="center" shrinkToFit="1" readingOrder="2"/>
    </xf>
    <xf numFmtId="0" fontId="0" fillId="0" borderId="0" xfId="0" applyAlignment="1">
      <alignment horizontal="center"/>
    </xf>
    <xf numFmtId="0" fontId="10" fillId="0" borderId="0" xfId="3"/>
    <xf numFmtId="1" fontId="9" fillId="0" borderId="0" xfId="0" applyNumberFormat="1" applyFont="1" applyAlignment="1">
      <alignment horizontal="center" vertical="center" readingOrder="2"/>
    </xf>
    <xf numFmtId="1" fontId="70" fillId="0" borderId="0" xfId="0" applyNumberFormat="1" applyFont="1" applyAlignment="1">
      <alignment horizontal="center" vertical="center"/>
    </xf>
    <xf numFmtId="1" fontId="30" fillId="0" borderId="0" xfId="0" applyNumberFormat="1" applyFont="1" applyAlignment="1">
      <alignment horizontal="center" vertical="center" wrapText="1" readingOrder="2"/>
    </xf>
    <xf numFmtId="1" fontId="30" fillId="0" borderId="2" xfId="0" applyNumberFormat="1" applyFont="1" applyBorder="1" applyAlignment="1">
      <alignment horizontal="center" vertical="center" readingOrder="2"/>
    </xf>
    <xf numFmtId="168" fontId="9" fillId="0" borderId="0" xfId="0" applyNumberFormat="1" applyFont="1" applyAlignment="1">
      <alignment horizontal="center" vertical="center" readingOrder="2"/>
    </xf>
    <xf numFmtId="1" fontId="13" fillId="0" borderId="0" xfId="4" applyNumberFormat="1" applyFont="1" applyAlignment="1">
      <alignment horizontal="center" vertical="center"/>
    </xf>
    <xf numFmtId="1" fontId="9" fillId="0" borderId="0" xfId="0" applyNumberFormat="1" applyFont="1" applyAlignment="1">
      <alignment horizontal="center" vertical="center" wrapText="1" readingOrder="2"/>
    </xf>
    <xf numFmtId="1" fontId="9" fillId="0" borderId="2" xfId="0" applyNumberFormat="1" applyFont="1" applyBorder="1" applyAlignment="1">
      <alignment horizontal="center" vertical="center" readingOrder="2"/>
    </xf>
    <xf numFmtId="1" fontId="9" fillId="0" borderId="0" xfId="0" applyNumberFormat="1" applyFont="1" applyAlignment="1">
      <alignment horizontal="center" vertical="center" shrinkToFit="1" readingOrder="2"/>
    </xf>
    <xf numFmtId="1" fontId="9" fillId="0" borderId="2" xfId="0" applyNumberFormat="1" applyFont="1" applyBorder="1" applyAlignment="1">
      <alignment horizontal="center" vertical="center" wrapText="1" readingOrder="2"/>
    </xf>
    <xf numFmtId="1" fontId="9" fillId="0" borderId="0" xfId="0" applyNumberFormat="1" applyFont="1" applyAlignment="1">
      <alignment horizontal="right" vertical="center" wrapText="1" readingOrder="2"/>
    </xf>
    <xf numFmtId="1" fontId="9" fillId="0" borderId="3" xfId="0" applyNumberFormat="1" applyFont="1" applyBorder="1" applyAlignment="1">
      <alignment horizontal="center" vertical="center" readingOrder="2"/>
    </xf>
    <xf numFmtId="1" fontId="9" fillId="0" borderId="1" xfId="0" applyNumberFormat="1" applyFont="1" applyBorder="1" applyAlignment="1">
      <alignment horizontal="center" vertical="center" wrapText="1" readingOrder="2"/>
    </xf>
    <xf numFmtId="1" fontId="20" fillId="0" borderId="0" xfId="0" applyNumberFormat="1" applyFont="1" applyAlignment="1">
      <alignment horizontal="center" vertical="center" wrapText="1" readingOrder="2"/>
    </xf>
    <xf numFmtId="1" fontId="9" fillId="0" borderId="0" xfId="0" applyNumberFormat="1" applyFont="1" applyAlignment="1">
      <alignment horizontal="right" vertical="center" shrinkToFit="1" readingOrder="2"/>
    </xf>
    <xf numFmtId="1" fontId="36" fillId="0" borderId="0" xfId="0" applyNumberFormat="1" applyFont="1" applyAlignment="1">
      <alignment horizontal="center" vertical="center" readingOrder="2"/>
    </xf>
    <xf numFmtId="1" fontId="36" fillId="0" borderId="2" xfId="0" applyNumberFormat="1" applyFont="1" applyBorder="1" applyAlignment="1">
      <alignment horizontal="center" vertical="center" readingOrder="2"/>
    </xf>
    <xf numFmtId="14" fontId="52" fillId="5" borderId="32" xfId="3" applyNumberFormat="1" applyFont="1" applyFill="1" applyBorder="1" applyAlignment="1">
      <alignment horizontal="center" vertical="center"/>
    </xf>
    <xf numFmtId="14" fontId="52" fillId="5" borderId="33" xfId="3" applyNumberFormat="1" applyFont="1" applyFill="1" applyBorder="1" applyAlignment="1">
      <alignment horizontal="center" vertical="center"/>
    </xf>
    <xf numFmtId="0" fontId="52" fillId="5" borderId="17" xfId="3" applyFont="1" applyFill="1" applyBorder="1" applyAlignment="1">
      <alignment horizontal="center" vertical="center"/>
    </xf>
    <xf numFmtId="0" fontId="52" fillId="5" borderId="18" xfId="3" applyFont="1" applyFill="1" applyBorder="1" applyAlignment="1">
      <alignment horizontal="center" vertical="center"/>
    </xf>
    <xf numFmtId="0" fontId="18" fillId="6" borderId="20" xfId="3" applyFont="1" applyFill="1" applyBorder="1" applyAlignment="1">
      <alignment horizontal="center" vertical="center"/>
    </xf>
    <xf numFmtId="0" fontId="18" fillId="6" borderId="20" xfId="3" applyFont="1" applyFill="1" applyBorder="1" applyAlignment="1">
      <alignment horizontal="right" vertical="center"/>
    </xf>
    <xf numFmtId="9" fontId="4" fillId="6" borderId="22" xfId="3" applyNumberFormat="1" applyFont="1" applyFill="1" applyBorder="1" applyAlignment="1">
      <alignment horizontal="center" vertical="center"/>
    </xf>
    <xf numFmtId="0" fontId="18" fillId="6" borderId="21" xfId="3" applyFont="1" applyFill="1" applyBorder="1" applyAlignment="1">
      <alignment horizontal="center" vertical="center"/>
    </xf>
    <xf numFmtId="0" fontId="18" fillId="6" borderId="21" xfId="3" applyFont="1" applyFill="1" applyBorder="1" applyAlignment="1">
      <alignment horizontal="right" vertical="center"/>
    </xf>
    <xf numFmtId="9" fontId="4" fillId="6" borderId="24" xfId="3" applyNumberFormat="1" applyFont="1" applyFill="1" applyBorder="1" applyAlignment="1">
      <alignment horizontal="center" vertical="center"/>
    </xf>
    <xf numFmtId="0" fontId="18" fillId="7" borderId="21" xfId="3" applyFont="1" applyFill="1" applyBorder="1" applyAlignment="1">
      <alignment horizontal="center" vertical="center"/>
    </xf>
    <xf numFmtId="0" fontId="25" fillId="7" borderId="21" xfId="3" applyFont="1" applyFill="1" applyBorder="1" applyAlignment="1">
      <alignment horizontal="right" vertical="center"/>
    </xf>
    <xf numFmtId="9" fontId="4" fillId="7" borderId="24" xfId="3" applyNumberFormat="1" applyFont="1" applyFill="1" applyBorder="1" applyAlignment="1">
      <alignment horizontal="center" vertical="center"/>
    </xf>
    <xf numFmtId="0" fontId="18" fillId="5" borderId="23" xfId="3" applyFont="1" applyFill="1" applyBorder="1" applyAlignment="1">
      <alignment horizontal="center" vertical="center"/>
    </xf>
    <xf numFmtId="0" fontId="18" fillId="8" borderId="21" xfId="3" applyFont="1" applyFill="1" applyBorder="1" applyAlignment="1">
      <alignment horizontal="center" vertical="center"/>
    </xf>
    <xf numFmtId="0" fontId="18" fillId="6" borderId="21" xfId="3" applyFont="1" applyFill="1" applyBorder="1" applyAlignment="1">
      <alignment vertical="center"/>
    </xf>
    <xf numFmtId="0" fontId="34" fillId="6" borderId="21" xfId="3" applyFont="1" applyFill="1" applyBorder="1" applyAlignment="1">
      <alignment horizontal="right" vertical="center"/>
    </xf>
    <xf numFmtId="0" fontId="18" fillId="6" borderId="21" xfId="3" applyFont="1" applyFill="1" applyBorder="1" applyAlignment="1">
      <alignment horizontal="right" vertical="center" wrapText="1"/>
    </xf>
    <xf numFmtId="0" fontId="34" fillId="6" borderId="21" xfId="3" applyFont="1" applyFill="1" applyBorder="1" applyAlignment="1">
      <alignment horizontal="right" vertical="center" wrapText="1"/>
    </xf>
    <xf numFmtId="3" fontId="4" fillId="6" borderId="21" xfId="3" applyNumberFormat="1" applyFont="1" applyFill="1" applyBorder="1" applyAlignment="1">
      <alignment horizontal="center" vertical="center"/>
    </xf>
    <xf numFmtId="0" fontId="18" fillId="6" borderId="17" xfId="3" applyFont="1" applyFill="1" applyBorder="1" applyAlignment="1">
      <alignment horizontal="right" vertical="center" wrapText="1"/>
    </xf>
    <xf numFmtId="3" fontId="4" fillId="6" borderId="17" xfId="11" applyNumberFormat="1" applyFont="1" applyFill="1" applyBorder="1" applyAlignment="1" applyProtection="1">
      <alignment horizontal="center" vertical="center"/>
    </xf>
    <xf numFmtId="168" fontId="4" fillId="6" borderId="17" xfId="11" applyNumberFormat="1" applyFont="1" applyFill="1" applyBorder="1" applyAlignment="1" applyProtection="1">
      <alignment horizontal="center" vertical="center"/>
    </xf>
    <xf numFmtId="9" fontId="4" fillId="6" borderId="18" xfId="3" applyNumberFormat="1" applyFont="1" applyFill="1" applyBorder="1" applyAlignment="1">
      <alignment horizontal="center" vertical="center"/>
    </xf>
    <xf numFmtId="0" fontId="52" fillId="5" borderId="29" xfId="3" applyFont="1" applyFill="1" applyBorder="1" applyAlignment="1">
      <alignment horizontal="center" vertical="center"/>
    </xf>
    <xf numFmtId="0" fontId="52" fillId="5" borderId="26" xfId="3" applyFont="1" applyFill="1" applyBorder="1" applyAlignment="1">
      <alignment horizontal="center" vertical="center"/>
    </xf>
    <xf numFmtId="0" fontId="52" fillId="5" borderId="27" xfId="3" applyFont="1" applyFill="1" applyBorder="1" applyAlignment="1">
      <alignment horizontal="center" vertical="center"/>
    </xf>
    <xf numFmtId="0" fontId="52" fillId="5" borderId="28" xfId="3" applyFont="1" applyFill="1" applyBorder="1" applyAlignment="1">
      <alignment horizontal="center" vertical="center"/>
    </xf>
    <xf numFmtId="0" fontId="56" fillId="6" borderId="23" xfId="3" applyFont="1" applyFill="1" applyBorder="1" applyAlignment="1">
      <alignment horizontal="center" vertical="center"/>
    </xf>
    <xf numFmtId="0" fontId="59" fillId="6" borderId="21" xfId="3" applyFont="1" applyFill="1" applyBorder="1" applyAlignment="1">
      <alignment horizontal="right" vertical="center" wrapText="1"/>
    </xf>
    <xf numFmtId="2" fontId="7" fillId="6" borderId="21" xfId="3" applyNumberFormat="1" applyFont="1" applyFill="1" applyBorder="1" applyAlignment="1">
      <alignment horizontal="center" vertical="center"/>
    </xf>
    <xf numFmtId="2" fontId="7" fillId="6" borderId="24" xfId="3" applyNumberFormat="1" applyFont="1" applyFill="1" applyBorder="1" applyAlignment="1">
      <alignment horizontal="center" vertical="center"/>
    </xf>
    <xf numFmtId="0" fontId="56" fillId="6" borderId="16" xfId="3" applyFont="1" applyFill="1" applyBorder="1" applyAlignment="1">
      <alignment horizontal="center" vertical="center"/>
    </xf>
    <xf numFmtId="0" fontId="59" fillId="6" borderId="17" xfId="3" applyFont="1" applyFill="1" applyBorder="1" applyAlignment="1">
      <alignment horizontal="right" vertical="center" wrapText="1"/>
    </xf>
    <xf numFmtId="2" fontId="7" fillId="6" borderId="17" xfId="3" applyNumberFormat="1" applyFont="1" applyFill="1" applyBorder="1" applyAlignment="1">
      <alignment horizontal="center" vertical="center"/>
    </xf>
    <xf numFmtId="2" fontId="7" fillId="6" borderId="18" xfId="3" applyNumberFormat="1" applyFont="1" applyFill="1" applyBorder="1" applyAlignment="1">
      <alignment horizontal="center" vertical="center"/>
    </xf>
    <xf numFmtId="37" fontId="9" fillId="0" borderId="4" xfId="0" applyNumberFormat="1" applyFont="1" applyBorder="1" applyAlignment="1">
      <alignment horizontal="center" vertical="center" wrapText="1" readingOrder="2"/>
    </xf>
    <xf numFmtId="37" fontId="9" fillId="0" borderId="3" xfId="0" applyNumberFormat="1" applyFont="1" applyBorder="1" applyAlignment="1">
      <alignment horizontal="center" vertical="center" readingOrder="2"/>
    </xf>
    <xf numFmtId="37" fontId="9" fillId="0" borderId="1" xfId="0" applyNumberFormat="1" applyFont="1" applyBorder="1" applyAlignment="1">
      <alignment horizontal="center" vertical="center" readingOrder="2"/>
    </xf>
    <xf numFmtId="37" fontId="9" fillId="0" borderId="1" xfId="0" applyNumberFormat="1" applyFont="1" applyBorder="1" applyAlignment="1">
      <alignment horizontal="center" shrinkToFit="1" readingOrder="2"/>
    </xf>
    <xf numFmtId="37" fontId="9" fillId="0" borderId="4" xfId="0" applyNumberFormat="1" applyFont="1" applyBorder="1" applyAlignment="1">
      <alignment horizontal="center" vertical="center" readingOrder="2"/>
    </xf>
    <xf numFmtId="1" fontId="4" fillId="6" borderId="21" xfId="3" applyNumberFormat="1" applyFont="1" applyFill="1" applyBorder="1" applyAlignment="1">
      <alignment horizontal="center" vertical="center"/>
    </xf>
    <xf numFmtId="14" fontId="54" fillId="0" borderId="4" xfId="4" applyNumberFormat="1" applyFont="1" applyBorder="1" applyAlignment="1">
      <alignment horizontal="center" vertical="center"/>
    </xf>
    <xf numFmtId="14" fontId="54" fillId="0" borderId="0" xfId="4" applyNumberFormat="1" applyFont="1" applyAlignment="1">
      <alignment vertical="center"/>
    </xf>
    <xf numFmtId="0" fontId="18" fillId="0" borderId="0" xfId="4" applyFont="1" applyAlignment="1">
      <alignment horizontal="right" vertical="center" indent="1"/>
    </xf>
    <xf numFmtId="0" fontId="20" fillId="0" borderId="0" xfId="4" applyFont="1" applyAlignment="1">
      <alignment horizontal="right" vertical="center" indent="1"/>
    </xf>
    <xf numFmtId="0" fontId="13" fillId="0" borderId="0" xfId="4" applyFont="1" applyAlignment="1">
      <alignment horizontal="right" vertical="center" indent="1"/>
    </xf>
    <xf numFmtId="3" fontId="41" fillId="0" borderId="0" xfId="4" applyNumberFormat="1" applyFont="1" applyAlignment="1">
      <alignment horizontal="center" vertical="center"/>
    </xf>
    <xf numFmtId="1" fontId="30" fillId="0" borderId="0" xfId="0" applyNumberFormat="1" applyFont="1" applyAlignment="1">
      <alignment horizontal="center" vertical="center" readingOrder="2"/>
    </xf>
    <xf numFmtId="0" fontId="4" fillId="0" borderId="0" xfId="0" applyFont="1" applyAlignment="1">
      <alignment horizontal="right" shrinkToFit="1" readingOrder="2"/>
    </xf>
    <xf numFmtId="37" fontId="9" fillId="0" borderId="3" xfId="0" applyNumberFormat="1" applyFont="1" applyBorder="1" applyAlignment="1">
      <alignment vertical="center" wrapText="1" readingOrder="2"/>
    </xf>
    <xf numFmtId="0" fontId="9" fillId="0" borderId="0" xfId="0" applyFont="1" applyAlignment="1">
      <alignment horizontal="center" readingOrder="2"/>
    </xf>
    <xf numFmtId="1" fontId="20" fillId="0" borderId="1" xfId="0" applyNumberFormat="1" applyFont="1" applyBorder="1" applyAlignment="1">
      <alignment horizontal="center" vertical="center" wrapText="1" readingOrder="2"/>
    </xf>
    <xf numFmtId="37" fontId="9" fillId="0" borderId="2" xfId="0" applyNumberFormat="1" applyFont="1" applyBorder="1" applyAlignment="1">
      <alignment horizontal="center" vertical="center" shrinkToFit="1" readingOrder="2"/>
    </xf>
    <xf numFmtId="37" fontId="12" fillId="0" borderId="2" xfId="0" applyNumberFormat="1" applyFont="1" applyBorder="1" applyAlignment="1">
      <alignment horizontal="center" vertical="center" readingOrder="2"/>
    </xf>
    <xf numFmtId="37" fontId="9" fillId="0" borderId="1" xfId="0" applyNumberFormat="1" applyFont="1" applyBorder="1" applyAlignment="1">
      <alignment horizontal="center" vertical="center" wrapText="1" shrinkToFit="1" readingOrder="2"/>
    </xf>
    <xf numFmtId="49" fontId="9" fillId="0" borderId="0" xfId="0" applyNumberFormat="1" applyFont="1" applyAlignment="1">
      <alignment vertical="center" readingOrder="2"/>
    </xf>
    <xf numFmtId="0" fontId="9" fillId="0" borderId="0" xfId="0" applyFont="1" applyAlignment="1">
      <alignment readingOrder="2"/>
    </xf>
    <xf numFmtId="0" fontId="5" fillId="0" borderId="0" xfId="0" applyFont="1" applyAlignment="1">
      <alignment horizontal="right" vertical="center" readingOrder="2"/>
    </xf>
    <xf numFmtId="0" fontId="5" fillId="0" borderId="1" xfId="0" applyFont="1" applyBorder="1" applyAlignment="1">
      <alignment horizontal="center" vertical="center" readingOrder="2"/>
    </xf>
    <xf numFmtId="1" fontId="9" fillId="0" borderId="1" xfId="0" applyNumberFormat="1" applyFont="1" applyBorder="1" applyAlignment="1">
      <alignment horizontal="center" vertical="center" readingOrder="2"/>
    </xf>
    <xf numFmtId="37" fontId="16" fillId="0" borderId="0" xfId="0" applyNumberFormat="1" applyFont="1" applyAlignment="1">
      <alignment horizontal="center" vertical="center" readingOrder="2"/>
    </xf>
    <xf numFmtId="37" fontId="9" fillId="0" borderId="0" xfId="0" applyNumberFormat="1" applyFont="1" applyAlignment="1">
      <alignment vertical="center" readingOrder="2"/>
    </xf>
    <xf numFmtId="0" fontId="13" fillId="0" borderId="0" xfId="0" applyFont="1" applyAlignment="1">
      <alignment horizontal="center" vertical="center" shrinkToFit="1" readingOrder="2"/>
    </xf>
    <xf numFmtId="37" fontId="9" fillId="0" borderId="4" xfId="0" applyNumberFormat="1" applyFont="1" applyBorder="1" applyAlignment="1">
      <alignment horizontal="center" vertical="center" shrinkToFit="1" readingOrder="2"/>
    </xf>
    <xf numFmtId="37" fontId="16" fillId="0" borderId="0" xfId="0" applyNumberFormat="1" applyFont="1" applyAlignment="1">
      <alignment horizontal="right" vertical="center" shrinkToFit="1" readingOrder="2"/>
    </xf>
    <xf numFmtId="37" fontId="16" fillId="0" borderId="1" xfId="0" applyNumberFormat="1" applyFont="1" applyBorder="1" applyAlignment="1">
      <alignment horizontal="center" vertical="center" wrapText="1" shrinkToFit="1" readingOrder="2"/>
    </xf>
    <xf numFmtId="37" fontId="12" fillId="0" borderId="0" xfId="0" applyNumberFormat="1" applyFont="1" applyAlignment="1">
      <alignment vertical="center" shrinkToFit="1" readingOrder="2"/>
    </xf>
    <xf numFmtId="166" fontId="15" fillId="0" borderId="0" xfId="1" applyNumberFormat="1" applyFont="1" applyFill="1"/>
    <xf numFmtId="0" fontId="9" fillId="0" borderId="4" xfId="0" applyFont="1" applyBorder="1" applyAlignment="1">
      <alignment horizontal="center" vertical="center" shrinkToFit="1" readingOrder="2"/>
    </xf>
    <xf numFmtId="37" fontId="9" fillId="0" borderId="4" xfId="0" applyNumberFormat="1" applyFont="1" applyBorder="1" applyAlignment="1">
      <alignment horizontal="center" readingOrder="2"/>
    </xf>
    <xf numFmtId="37" fontId="16" fillId="0" borderId="0" xfId="0" applyNumberFormat="1" applyFont="1" applyAlignment="1">
      <alignment horizontal="center" vertical="center" wrapText="1" shrinkToFit="1" readingOrder="2"/>
    </xf>
    <xf numFmtId="1" fontId="16" fillId="0" borderId="1" xfId="0" applyNumberFormat="1" applyFont="1" applyBorder="1" applyAlignment="1">
      <alignment horizontal="center" vertical="center" wrapText="1" readingOrder="2"/>
    </xf>
    <xf numFmtId="0" fontId="18" fillId="10" borderId="21" xfId="3" applyFont="1" applyFill="1" applyBorder="1" applyAlignment="1">
      <alignment horizontal="center" vertical="center"/>
    </xf>
    <xf numFmtId="0" fontId="56" fillId="10" borderId="21" xfId="3" applyFont="1" applyFill="1" applyBorder="1" applyAlignment="1">
      <alignment horizontal="right" vertical="center" wrapText="1"/>
    </xf>
    <xf numFmtId="9" fontId="4" fillId="10" borderId="24" xfId="3" applyNumberFormat="1" applyFont="1" applyFill="1" applyBorder="1" applyAlignment="1">
      <alignment horizontal="center" vertical="center"/>
    </xf>
    <xf numFmtId="0" fontId="56" fillId="10" borderId="21" xfId="3" applyFont="1" applyFill="1" applyBorder="1" applyAlignment="1">
      <alignment horizontal="right" vertical="center"/>
    </xf>
    <xf numFmtId="0" fontId="26" fillId="0" borderId="0" xfId="0" applyFont="1" applyAlignment="1">
      <alignment vertical="center" wrapText="1"/>
    </xf>
    <xf numFmtId="0" fontId="26" fillId="0" borderId="0" xfId="0" applyFont="1" applyAlignment="1">
      <alignment vertical="center"/>
    </xf>
    <xf numFmtId="0" fontId="26" fillId="0" borderId="0" xfId="0" applyFont="1" applyAlignment="1">
      <alignment horizontal="right" vertical="center" wrapText="1"/>
    </xf>
    <xf numFmtId="0" fontId="74" fillId="0" borderId="0" xfId="0" applyFont="1" applyAlignment="1">
      <alignment wrapText="1"/>
    </xf>
    <xf numFmtId="37" fontId="50" fillId="0" borderId="0" xfId="0" applyNumberFormat="1" applyFont="1" applyAlignment="1">
      <alignment horizontal="right" shrinkToFit="1" readingOrder="2"/>
    </xf>
    <xf numFmtId="0" fontId="16" fillId="0" borderId="0" xfId="0" applyFont="1" applyAlignment="1">
      <alignment vertical="center" wrapText="1" readingOrder="2"/>
    </xf>
    <xf numFmtId="37" fontId="16" fillId="0" borderId="0" xfId="0" applyNumberFormat="1" applyFont="1" applyAlignment="1">
      <alignment vertical="center" wrapText="1" readingOrder="2"/>
    </xf>
    <xf numFmtId="41" fontId="4" fillId="0" borderId="21" xfId="11" applyNumberFormat="1" applyFont="1" applyFill="1" applyBorder="1" applyAlignment="1" applyProtection="1">
      <alignment horizontal="center" vertical="center"/>
    </xf>
    <xf numFmtId="0" fontId="69" fillId="0" borderId="0" xfId="3" applyFont="1" applyAlignment="1">
      <alignment horizontal="center" vertical="center"/>
    </xf>
    <xf numFmtId="0" fontId="4" fillId="6" borderId="21" xfId="3" applyFont="1" applyFill="1" applyBorder="1" applyAlignment="1">
      <alignment horizontal="center" vertical="center" wrapText="1"/>
    </xf>
    <xf numFmtId="0" fontId="4" fillId="6" borderId="17" xfId="3" applyFont="1" applyFill="1" applyBorder="1" applyAlignment="1">
      <alignment horizontal="center" vertical="center" wrapText="1"/>
    </xf>
    <xf numFmtId="0" fontId="10" fillId="0" borderId="0" xfId="3" applyAlignment="1">
      <alignment horizontal="center" vertical="center"/>
    </xf>
    <xf numFmtId="41" fontId="4" fillId="11" borderId="21" xfId="11" applyNumberFormat="1" applyFont="1" applyFill="1" applyBorder="1" applyAlignment="1" applyProtection="1">
      <alignment horizontal="center" vertical="center"/>
    </xf>
    <xf numFmtId="41" fontId="4" fillId="10" borderId="21" xfId="11" applyNumberFormat="1" applyFont="1" applyFill="1" applyBorder="1" applyAlignment="1" applyProtection="1">
      <alignment horizontal="center" vertical="center"/>
    </xf>
    <xf numFmtId="0" fontId="18" fillId="12" borderId="21" xfId="3" applyFont="1" applyFill="1" applyBorder="1" applyAlignment="1">
      <alignment horizontal="center" vertical="center"/>
    </xf>
    <xf numFmtId="0" fontId="56" fillId="12" borderId="21" xfId="3" applyFont="1" applyFill="1" applyBorder="1" applyAlignment="1">
      <alignment horizontal="right" vertical="center" wrapText="1"/>
    </xf>
    <xf numFmtId="41" fontId="4" fillId="12" borderId="21" xfId="11" applyNumberFormat="1" applyFont="1" applyFill="1" applyBorder="1" applyAlignment="1" applyProtection="1">
      <alignment horizontal="center" vertical="center"/>
    </xf>
    <xf numFmtId="9" fontId="4" fillId="12" borderId="24" xfId="3" applyNumberFormat="1" applyFont="1" applyFill="1" applyBorder="1" applyAlignment="1">
      <alignment horizontal="center" vertical="center"/>
    </xf>
    <xf numFmtId="0" fontId="4" fillId="0" borderId="0" xfId="0" applyFont="1" applyAlignment="1">
      <alignment horizontal="right" readingOrder="2"/>
    </xf>
    <xf numFmtId="0" fontId="7" fillId="0" borderId="0" xfId="0" applyFont="1" applyAlignment="1">
      <alignment horizontal="right" readingOrder="2"/>
    </xf>
    <xf numFmtId="0" fontId="43" fillId="0" borderId="0" xfId="0" applyFont="1" applyAlignment="1">
      <alignment vertical="center"/>
    </xf>
    <xf numFmtId="0" fontId="44" fillId="0" borderId="0" xfId="0" applyFont="1" applyAlignment="1">
      <alignment vertical="center"/>
    </xf>
    <xf numFmtId="37" fontId="45" fillId="0" borderId="0" xfId="0" applyNumberFormat="1" applyFont="1" applyAlignment="1">
      <alignment vertical="center" readingOrder="2"/>
    </xf>
    <xf numFmtId="0" fontId="46" fillId="0" borderId="1" xfId="0" applyFont="1" applyBorder="1" applyAlignment="1">
      <alignment horizontal="center" vertical="center" readingOrder="2"/>
    </xf>
    <xf numFmtId="0" fontId="47" fillId="0" borderId="0" xfId="0" applyFont="1" applyAlignment="1">
      <alignment vertical="center"/>
    </xf>
    <xf numFmtId="0" fontId="32" fillId="0" borderId="0" xfId="0" applyFont="1" applyAlignment="1">
      <alignment horizontal="center" vertical="center" readingOrder="2"/>
    </xf>
    <xf numFmtId="0" fontId="42" fillId="0" borderId="0" xfId="0" applyFont="1" applyAlignment="1">
      <alignment vertical="center"/>
    </xf>
    <xf numFmtId="0" fontId="5" fillId="0" borderId="0" xfId="0" applyFont="1" applyAlignment="1">
      <alignment horizontal="right" vertical="center" shrinkToFit="1" readingOrder="2"/>
    </xf>
    <xf numFmtId="0" fontId="22" fillId="0" borderId="0" xfId="0" applyFont="1" applyAlignment="1">
      <alignment vertical="center"/>
    </xf>
    <xf numFmtId="37" fontId="41" fillId="0" borderId="0" xfId="0" applyNumberFormat="1" applyFont="1" applyAlignment="1">
      <alignment vertical="center" readingOrder="2"/>
    </xf>
    <xf numFmtId="1" fontId="32" fillId="0" borderId="0" xfId="0" applyNumberFormat="1" applyFont="1" applyAlignment="1">
      <alignment horizontal="center" vertical="center"/>
    </xf>
    <xf numFmtId="0" fontId="29" fillId="0" borderId="0" xfId="0" applyFont="1" applyAlignment="1">
      <alignment vertical="center"/>
    </xf>
    <xf numFmtId="1" fontId="32" fillId="0" borderId="2" xfId="0" applyNumberFormat="1" applyFont="1" applyBorder="1" applyAlignment="1">
      <alignment horizontal="center" vertical="center"/>
    </xf>
    <xf numFmtId="0" fontId="21" fillId="0" borderId="0" xfId="0" applyFont="1" applyAlignment="1">
      <alignment vertical="center"/>
    </xf>
    <xf numFmtId="0" fontId="28" fillId="0" borderId="0" xfId="0" applyFont="1" applyAlignment="1">
      <alignment horizontal="center" vertical="center"/>
    </xf>
    <xf numFmtId="0" fontId="46" fillId="0" borderId="0" xfId="0" applyFont="1" applyAlignment="1">
      <alignment horizontal="center" vertical="center" readingOrder="2"/>
    </xf>
    <xf numFmtId="0" fontId="32" fillId="0" borderId="0" xfId="0" applyFont="1" applyAlignment="1">
      <alignment horizontal="center" vertical="center"/>
    </xf>
    <xf numFmtId="0" fontId="33" fillId="0" borderId="0" xfId="0" applyFont="1" applyAlignment="1">
      <alignment horizontal="right" vertical="center" wrapText="1" readingOrder="2"/>
    </xf>
    <xf numFmtId="0" fontId="31" fillId="0" borderId="0" xfId="0" applyFont="1" applyAlignment="1">
      <alignment horizontal="center" vertical="center" readingOrder="2"/>
    </xf>
    <xf numFmtId="0" fontId="50" fillId="0" borderId="1" xfId="0" applyFont="1" applyBorder="1" applyAlignment="1">
      <alignment horizontal="center" vertical="center" readingOrder="2"/>
    </xf>
    <xf numFmtId="0" fontId="51" fillId="0" borderId="0" xfId="0" applyFont="1" applyAlignment="1">
      <alignment vertical="center"/>
    </xf>
    <xf numFmtId="0" fontId="67" fillId="0" borderId="1" xfId="0" applyFont="1" applyBorder="1" applyAlignment="1">
      <alignment horizontal="center" vertical="center" readingOrder="2"/>
    </xf>
    <xf numFmtId="0" fontId="68"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wrapText="1" readingOrder="2"/>
    </xf>
    <xf numFmtId="0" fontId="9" fillId="0" borderId="0" xfId="0" applyFont="1" applyAlignment="1">
      <alignment vertical="center"/>
    </xf>
    <xf numFmtId="0" fontId="9" fillId="0" borderId="0" xfId="0" applyFont="1" applyAlignment="1">
      <alignment horizontal="center" vertical="center"/>
    </xf>
    <xf numFmtId="0" fontId="12" fillId="0" borderId="0" xfId="0" applyFont="1" applyAlignment="1">
      <alignment vertical="center"/>
    </xf>
    <xf numFmtId="0" fontId="24" fillId="0" borderId="0" xfId="0" applyFont="1" applyAlignment="1">
      <alignment vertical="center"/>
    </xf>
    <xf numFmtId="0" fontId="9" fillId="0" borderId="0" xfId="0" applyFont="1" applyAlignment="1">
      <alignment horizontal="center" vertical="center" wrapText="1"/>
    </xf>
    <xf numFmtId="49" fontId="16" fillId="0" borderId="0" xfId="0" applyNumberFormat="1" applyFont="1" applyAlignment="1">
      <alignment horizontal="center" vertical="center" wrapText="1" readingOrder="2"/>
    </xf>
    <xf numFmtId="49" fontId="16" fillId="0" borderId="0" xfId="0" applyNumberFormat="1" applyFont="1" applyAlignment="1">
      <alignment horizontal="center" vertical="center" wrapText="1" shrinkToFit="1" readingOrder="2"/>
    </xf>
    <xf numFmtId="0" fontId="16" fillId="0" borderId="0" xfId="0" applyFont="1" applyAlignment="1">
      <alignment horizontal="center" vertical="top" wrapText="1" readingOrder="2"/>
    </xf>
    <xf numFmtId="37" fontId="9" fillId="0" borderId="0" xfId="0" applyNumberFormat="1" applyFont="1" applyAlignment="1">
      <alignment horizontal="right" vertical="center" readingOrder="2"/>
    </xf>
    <xf numFmtId="0" fontId="12" fillId="0" borderId="0" xfId="0" applyFont="1" applyAlignment="1">
      <alignment horizontal="right" vertical="center" readingOrder="2"/>
    </xf>
    <xf numFmtId="37" fontId="12" fillId="0" borderId="0" xfId="0" applyNumberFormat="1" applyFont="1" applyAlignment="1">
      <alignment horizontal="right" vertical="center" readingOrder="2"/>
    </xf>
    <xf numFmtId="0" fontId="6" fillId="0" borderId="0" xfId="0" applyFont="1" applyAlignment="1">
      <alignment vertical="center" readingOrder="2"/>
    </xf>
    <xf numFmtId="0" fontId="6" fillId="0" borderId="1" xfId="0" applyFont="1" applyBorder="1" applyAlignment="1">
      <alignment horizontal="center" vertical="center" readingOrder="2"/>
    </xf>
    <xf numFmtId="37" fontId="9" fillId="0" borderId="0" xfId="0" applyNumberFormat="1" applyFont="1" applyAlignment="1">
      <alignment vertical="center" wrapText="1" readingOrder="2"/>
    </xf>
    <xf numFmtId="0" fontId="20" fillId="0" borderId="0" xfId="0" applyFont="1" applyAlignment="1">
      <alignment horizontal="right" vertical="center" shrinkToFit="1" readingOrder="2"/>
    </xf>
    <xf numFmtId="0" fontId="9" fillId="0" borderId="0" xfId="0" applyFont="1" applyAlignment="1">
      <alignment horizontal="right" shrinkToFit="1" readingOrder="2"/>
    </xf>
    <xf numFmtId="1" fontId="9" fillId="0" borderId="0" xfId="0" applyNumberFormat="1" applyFont="1" applyAlignment="1">
      <alignment horizontal="right" shrinkToFit="1" readingOrder="2"/>
    </xf>
    <xf numFmtId="0" fontId="18" fillId="0" borderId="0" xfId="0" applyFont="1" applyAlignment="1">
      <alignment shrinkToFit="1" readingOrder="2"/>
    </xf>
    <xf numFmtId="0" fontId="76" fillId="0" borderId="0" xfId="14" applyFont="1" applyAlignment="1">
      <alignment horizontal="center" vertical="center"/>
    </xf>
    <xf numFmtId="170" fontId="77" fillId="0" borderId="0" xfId="15" applyNumberFormat="1" applyFont="1" applyAlignment="1">
      <alignment horizontal="center" vertical="center" readingOrder="2"/>
    </xf>
    <xf numFmtId="0" fontId="18" fillId="0" borderId="1" xfId="0" applyFont="1" applyBorder="1" applyAlignment="1">
      <alignment horizontal="center" vertical="center" wrapText="1"/>
    </xf>
    <xf numFmtId="169" fontId="24" fillId="0" borderId="0" xfId="0" applyNumberFormat="1" applyFont="1" applyAlignment="1">
      <alignment horizontal="center" vertical="center" readingOrder="2"/>
    </xf>
    <xf numFmtId="169" fontId="53" fillId="0" borderId="0" xfId="3" applyNumberFormat="1" applyFont="1" applyAlignment="1">
      <alignment horizontal="center" vertical="center"/>
    </xf>
    <xf numFmtId="170" fontId="30" fillId="0" borderId="0" xfId="0" applyNumberFormat="1" applyFont="1" applyAlignment="1">
      <alignment horizontal="center" vertical="center" wrapText="1" readingOrder="2"/>
    </xf>
    <xf numFmtId="170" fontId="30" fillId="0" borderId="2" xfId="0" applyNumberFormat="1" applyFont="1" applyBorder="1" applyAlignment="1">
      <alignment horizontal="center" vertical="center" readingOrder="2"/>
    </xf>
    <xf numFmtId="170" fontId="9" fillId="0" borderId="0" xfId="0" applyNumberFormat="1" applyFont="1" applyAlignment="1">
      <alignment horizontal="center" vertical="center" wrapText="1" readingOrder="2"/>
    </xf>
    <xf numFmtId="170" fontId="13" fillId="0" borderId="0" xfId="0" applyNumberFormat="1" applyFont="1" applyAlignment="1">
      <alignment horizontal="right" shrinkToFit="1" readingOrder="2"/>
    </xf>
    <xf numFmtId="170" fontId="20" fillId="0" borderId="0" xfId="0" applyNumberFormat="1" applyFont="1" applyAlignment="1">
      <alignment horizontal="center" vertical="center" readingOrder="2"/>
    </xf>
    <xf numFmtId="170" fontId="9" fillId="0" borderId="2" xfId="0" applyNumberFormat="1" applyFont="1" applyBorder="1" applyAlignment="1">
      <alignment horizontal="center" vertical="center" readingOrder="2"/>
    </xf>
    <xf numFmtId="170" fontId="12" fillId="0" borderId="0" xfId="0" applyNumberFormat="1" applyFont="1" applyAlignment="1">
      <alignment horizontal="center" readingOrder="2"/>
    </xf>
    <xf numFmtId="170" fontId="12" fillId="0" borderId="0" xfId="0" applyNumberFormat="1" applyFont="1" applyAlignment="1">
      <alignment horizontal="center" vertical="center" readingOrder="2"/>
    </xf>
    <xf numFmtId="170" fontId="9" fillId="0" borderId="0" xfId="0" applyNumberFormat="1" applyFont="1" applyAlignment="1">
      <alignment horizontal="center" vertical="center" readingOrder="2"/>
    </xf>
    <xf numFmtId="171" fontId="9" fillId="0" borderId="0" xfId="0" applyNumberFormat="1" applyFont="1" applyAlignment="1">
      <alignment horizontal="center" vertical="center" wrapText="1" readingOrder="2"/>
    </xf>
    <xf numFmtId="170" fontId="9" fillId="0" borderId="1" xfId="0" applyNumberFormat="1" applyFont="1" applyBorder="1" applyAlignment="1">
      <alignment horizontal="center" vertical="center" shrinkToFit="1" readingOrder="2"/>
    </xf>
    <xf numFmtId="170" fontId="9" fillId="0" borderId="0" xfId="0" applyNumberFormat="1" applyFont="1" applyAlignment="1">
      <alignment horizontal="center" vertical="center" shrinkToFit="1" readingOrder="2"/>
    </xf>
    <xf numFmtId="170" fontId="9" fillId="0" borderId="0" xfId="0" applyNumberFormat="1" applyFont="1" applyAlignment="1">
      <alignment readingOrder="2"/>
    </xf>
    <xf numFmtId="170" fontId="13" fillId="0" borderId="0" xfId="0" applyNumberFormat="1" applyFont="1" applyAlignment="1">
      <alignment horizontal="right" vertical="center" shrinkToFit="1" readingOrder="2"/>
    </xf>
    <xf numFmtId="171" fontId="9" fillId="0" borderId="2" xfId="0" applyNumberFormat="1" applyFont="1" applyBorder="1" applyAlignment="1">
      <alignment horizontal="center" vertical="center" readingOrder="2"/>
    </xf>
    <xf numFmtId="168" fontId="9" fillId="0" borderId="0" xfId="0" applyNumberFormat="1" applyFont="1" applyAlignment="1">
      <alignment readingOrder="2"/>
    </xf>
    <xf numFmtId="168" fontId="9" fillId="0" borderId="0" xfId="0" applyNumberFormat="1" applyFont="1" applyAlignment="1">
      <alignment shrinkToFit="1" readingOrder="2"/>
    </xf>
    <xf numFmtId="168" fontId="20" fillId="0" borderId="2" xfId="0" applyNumberFormat="1" applyFont="1" applyBorder="1" applyAlignment="1">
      <alignment horizontal="center" vertical="center" readingOrder="2"/>
    </xf>
    <xf numFmtId="168" fontId="20" fillId="0" borderId="0" xfId="0" applyNumberFormat="1" applyFont="1" applyAlignment="1">
      <alignment horizontal="center" vertical="center" readingOrder="2"/>
    </xf>
    <xf numFmtId="168" fontId="9" fillId="0" borderId="0" xfId="0" applyNumberFormat="1" applyFont="1" applyAlignment="1">
      <alignment horizontal="center" vertical="center" wrapText="1" readingOrder="2"/>
    </xf>
    <xf numFmtId="171" fontId="9" fillId="0" borderId="0" xfId="0" applyNumberFormat="1" applyFont="1" applyAlignment="1">
      <alignment horizontal="center" vertical="center" readingOrder="2"/>
    </xf>
    <xf numFmtId="168" fontId="9" fillId="0" borderId="2" xfId="0" applyNumberFormat="1" applyFont="1" applyBorder="1" applyAlignment="1">
      <alignment horizontal="center" vertical="center" readingOrder="2"/>
    </xf>
    <xf numFmtId="168" fontId="30" fillId="0" borderId="0" xfId="0" applyNumberFormat="1" applyFont="1" applyAlignment="1">
      <alignment horizontal="center" vertical="center" wrapText="1" readingOrder="2"/>
    </xf>
    <xf numFmtId="168" fontId="30" fillId="0" borderId="2" xfId="0" applyNumberFormat="1" applyFont="1" applyBorder="1" applyAlignment="1">
      <alignment horizontal="center" vertical="center" readingOrder="2"/>
    </xf>
    <xf numFmtId="168" fontId="9" fillId="0" borderId="3" xfId="0" applyNumberFormat="1" applyFont="1" applyBorder="1" applyAlignment="1">
      <alignment horizontal="center" vertical="center" readingOrder="2"/>
    </xf>
    <xf numFmtId="171" fontId="9" fillId="0" borderId="1" xfId="0" applyNumberFormat="1" applyFont="1" applyBorder="1" applyAlignment="1">
      <alignment horizontal="center" vertical="center" wrapText="1" readingOrder="2"/>
    </xf>
    <xf numFmtId="171" fontId="9" fillId="0" borderId="0" xfId="0" applyNumberFormat="1" applyFont="1" applyAlignment="1">
      <alignment shrinkToFit="1" readingOrder="2"/>
    </xf>
    <xf numFmtId="169" fontId="78" fillId="0" borderId="0" xfId="0" applyNumberFormat="1" applyFont="1" applyAlignment="1">
      <alignment horizontal="center" vertical="center" wrapText="1" readingOrder="2"/>
    </xf>
    <xf numFmtId="171" fontId="18" fillId="0" borderId="2" xfId="0" applyNumberFormat="1" applyFont="1" applyBorder="1" applyAlignment="1">
      <alignment horizontal="center" vertical="center" wrapText="1" readingOrder="2"/>
    </xf>
    <xf numFmtId="37" fontId="9" fillId="0" borderId="0" xfId="0" applyNumberFormat="1" applyFont="1" applyAlignment="1">
      <alignment horizontal="right" wrapText="1" readingOrder="2"/>
    </xf>
    <xf numFmtId="37" fontId="9" fillId="0" borderId="3" xfId="0" applyNumberFormat="1" applyFont="1" applyBorder="1" applyAlignment="1">
      <alignment horizontal="center" vertical="center" wrapText="1" readingOrder="2"/>
    </xf>
    <xf numFmtId="49" fontId="9" fillId="0" borderId="4" xfId="0" applyNumberFormat="1" applyFont="1" applyBorder="1" applyAlignment="1">
      <alignment horizontal="center" vertical="center" readingOrder="2"/>
    </xf>
    <xf numFmtId="37" fontId="12" fillId="0" borderId="1" xfId="0" applyNumberFormat="1" applyFont="1" applyBorder="1" applyAlignment="1">
      <alignment horizontal="center" vertical="center" shrinkToFit="1" readingOrder="2"/>
    </xf>
    <xf numFmtId="3" fontId="9" fillId="0" borderId="0" xfId="0" applyNumberFormat="1" applyFont="1" applyAlignment="1">
      <alignment horizontal="right" readingOrder="2"/>
    </xf>
    <xf numFmtId="3" fontId="9" fillId="0" borderId="0" xfId="0" applyNumberFormat="1" applyFont="1" applyAlignment="1">
      <alignment horizontal="center" readingOrder="2"/>
    </xf>
    <xf numFmtId="3" fontId="12" fillId="0" borderId="4" xfId="0" applyNumberFormat="1" applyFont="1" applyBorder="1" applyAlignment="1">
      <alignment horizontal="center" vertical="center" wrapText="1" readingOrder="2"/>
    </xf>
    <xf numFmtId="3" fontId="9" fillId="0" borderId="0" xfId="0" applyNumberFormat="1" applyFont="1" applyAlignment="1">
      <alignment horizontal="center" vertical="center" shrinkToFit="1" readingOrder="2"/>
    </xf>
    <xf numFmtId="3" fontId="9" fillId="0" borderId="0" xfId="0" applyNumberFormat="1" applyFont="1" applyAlignment="1">
      <alignment horizontal="center" vertical="center" readingOrder="2"/>
    </xf>
    <xf numFmtId="3" fontId="20" fillId="0" borderId="0" xfId="0" applyNumberFormat="1" applyFont="1" applyAlignment="1">
      <alignment horizontal="center" vertical="center" shrinkToFit="1" readingOrder="2"/>
    </xf>
    <xf numFmtId="3" fontId="9" fillId="0" borderId="0" xfId="0" applyNumberFormat="1" applyFont="1" applyAlignment="1">
      <alignment readingOrder="2"/>
    </xf>
    <xf numFmtId="168" fontId="12" fillId="0" borderId="0" xfId="0" applyNumberFormat="1" applyFont="1" applyAlignment="1">
      <alignment readingOrder="2"/>
    </xf>
    <xf numFmtId="168" fontId="12" fillId="0" borderId="0" xfId="0" applyNumberFormat="1" applyFont="1" applyAlignment="1">
      <alignment horizontal="center" vertical="center" readingOrder="2"/>
    </xf>
    <xf numFmtId="168" fontId="30" fillId="0" borderId="0" xfId="0" applyNumberFormat="1" applyFont="1" applyAlignment="1">
      <alignment readingOrder="2"/>
    </xf>
    <xf numFmtId="3" fontId="30" fillId="0" borderId="2" xfId="0" applyNumberFormat="1" applyFont="1" applyBorder="1" applyAlignment="1">
      <alignment horizontal="center" vertical="center" readingOrder="2"/>
    </xf>
    <xf numFmtId="168" fontId="30" fillId="0" borderId="0" xfId="0" applyNumberFormat="1" applyFont="1" applyAlignment="1">
      <alignment horizontal="center" vertical="center" readingOrder="2"/>
    </xf>
    <xf numFmtId="168" fontId="9" fillId="0" borderId="2" xfId="0" applyNumberFormat="1" applyFont="1" applyBorder="1" applyAlignment="1">
      <alignment horizontal="center" vertical="center" wrapText="1" readingOrder="2"/>
    </xf>
    <xf numFmtId="0" fontId="78" fillId="0" borderId="0" xfId="0" applyFont="1" applyAlignment="1">
      <alignment horizontal="right" shrinkToFit="1" readingOrder="2"/>
    </xf>
    <xf numFmtId="1" fontId="79" fillId="0" borderId="0" xfId="0" applyNumberFormat="1" applyFont="1" applyAlignment="1">
      <alignment horizontal="center" vertical="center" wrapText="1" readingOrder="2"/>
    </xf>
    <xf numFmtId="169" fontId="9" fillId="0" borderId="0" xfId="0" applyNumberFormat="1" applyFont="1" applyAlignment="1">
      <alignment horizontal="center" readingOrder="2"/>
    </xf>
    <xf numFmtId="1" fontId="41" fillId="0" borderId="0" xfId="4" applyNumberFormat="1" applyFont="1" applyAlignment="1">
      <alignment horizontal="center" vertical="center"/>
    </xf>
    <xf numFmtId="3" fontId="57" fillId="0" borderId="0" xfId="4" applyNumberFormat="1" applyFont="1" applyAlignment="1">
      <alignment horizontal="center" vertical="center"/>
    </xf>
    <xf numFmtId="3" fontId="52" fillId="0" borderId="0" xfId="4" applyNumberFormat="1" applyFont="1" applyAlignment="1">
      <alignment horizontal="center" vertical="center"/>
    </xf>
    <xf numFmtId="3" fontId="64" fillId="0" borderId="0" xfId="4" applyNumberFormat="1" applyFont="1" applyAlignment="1">
      <alignment horizontal="center" vertical="center"/>
    </xf>
    <xf numFmtId="3" fontId="52" fillId="0" borderId="1" xfId="4" applyNumberFormat="1" applyFont="1" applyBorder="1" applyAlignment="1">
      <alignment horizontal="center" vertical="center"/>
    </xf>
    <xf numFmtId="3" fontId="53" fillId="0" borderId="0" xfId="4" applyNumberFormat="1" applyFont="1" applyAlignment="1">
      <alignment horizontal="center" vertical="center"/>
    </xf>
    <xf numFmtId="3" fontId="54" fillId="0" borderId="1" xfId="4" applyNumberFormat="1" applyFont="1" applyBorder="1" applyAlignment="1">
      <alignment horizontal="center" vertical="center"/>
    </xf>
    <xf numFmtId="3" fontId="54" fillId="0" borderId="0" xfId="4" applyNumberFormat="1" applyFont="1" applyAlignment="1">
      <alignment horizontal="center" vertical="center"/>
    </xf>
    <xf numFmtId="3" fontId="55" fillId="0" borderId="0" xfId="4" applyNumberFormat="1" applyFont="1" applyAlignment="1">
      <alignment horizontal="center" vertical="center"/>
    </xf>
    <xf numFmtId="3" fontId="25" fillId="0" borderId="0" xfId="4" applyNumberFormat="1" applyFont="1" applyAlignment="1">
      <alignment horizontal="right" vertical="center"/>
    </xf>
    <xf numFmtId="3" fontId="25" fillId="0" borderId="0" xfId="4" applyNumberFormat="1" applyFont="1" applyAlignment="1">
      <alignment horizontal="center" vertical="center"/>
    </xf>
    <xf numFmtId="3" fontId="18" fillId="0" borderId="0" xfId="4" applyNumberFormat="1" applyFont="1" applyAlignment="1">
      <alignment horizontal="center" vertical="center"/>
    </xf>
    <xf numFmtId="3" fontId="20" fillId="0" borderId="0" xfId="4" applyNumberFormat="1" applyFont="1" applyAlignment="1">
      <alignment horizontal="right" vertical="center"/>
    </xf>
    <xf numFmtId="3" fontId="20" fillId="0" borderId="0" xfId="4" applyNumberFormat="1" applyFont="1" applyAlignment="1">
      <alignment vertical="center"/>
    </xf>
    <xf numFmtId="3" fontId="18" fillId="0" borderId="0" xfId="4" applyNumberFormat="1" applyFont="1" applyAlignment="1">
      <alignment horizontal="right" vertical="center"/>
    </xf>
    <xf numFmtId="3" fontId="9" fillId="0" borderId="0" xfId="4" applyNumberFormat="1" applyFont="1" applyAlignment="1">
      <alignment horizontal="center" vertical="center"/>
    </xf>
    <xf numFmtId="3" fontId="40" fillId="0" borderId="0" xfId="4" applyNumberFormat="1" applyFont="1" applyAlignment="1">
      <alignment horizontal="center" vertical="center"/>
    </xf>
    <xf numFmtId="3" fontId="56" fillId="0" borderId="0" xfId="4" applyNumberFormat="1" applyFont="1" applyAlignment="1">
      <alignment horizontal="right" vertical="center"/>
    </xf>
    <xf numFmtId="3" fontId="49" fillId="0" borderId="0" xfId="4" applyNumberFormat="1" applyFont="1" applyAlignment="1">
      <alignment horizontal="right" vertical="center"/>
    </xf>
    <xf numFmtId="3" fontId="48" fillId="0" borderId="0" xfId="4" applyNumberFormat="1" applyFont="1" applyAlignment="1">
      <alignment vertical="center" shrinkToFit="1"/>
    </xf>
    <xf numFmtId="3" fontId="48" fillId="3" borderId="0" xfId="4" applyNumberFormat="1" applyFont="1" applyFill="1" applyAlignment="1">
      <alignment vertical="center" shrinkToFit="1"/>
    </xf>
    <xf numFmtId="3" fontId="41" fillId="0" borderId="0" xfId="4" applyNumberFormat="1" applyFont="1" applyAlignment="1">
      <alignment horizontal="center" vertical="center" shrinkToFit="1"/>
    </xf>
    <xf numFmtId="3" fontId="52" fillId="0" borderId="0" xfId="4" applyNumberFormat="1" applyFont="1" applyAlignment="1">
      <alignment horizontal="center" vertical="center" shrinkToFit="1"/>
    </xf>
    <xf numFmtId="3" fontId="54" fillId="0" borderId="0" xfId="4" applyNumberFormat="1" applyFont="1" applyAlignment="1">
      <alignment horizontal="center" vertical="center" shrinkToFit="1"/>
    </xf>
    <xf numFmtId="3" fontId="53" fillId="0" borderId="0" xfId="4" applyNumberFormat="1" applyFont="1" applyAlignment="1">
      <alignment horizontal="center" vertical="center" shrinkToFit="1"/>
    </xf>
    <xf numFmtId="3" fontId="54" fillId="0" borderId="1" xfId="4" applyNumberFormat="1" applyFont="1" applyBorder="1" applyAlignment="1">
      <alignment horizontal="center" vertical="center" shrinkToFit="1"/>
    </xf>
    <xf numFmtId="3" fontId="64" fillId="0" borderId="0" xfId="4" applyNumberFormat="1" applyFont="1" applyAlignment="1">
      <alignment horizontal="center" vertical="center" shrinkToFit="1"/>
    </xf>
    <xf numFmtId="3" fontId="41" fillId="3" borderId="0" xfId="4" applyNumberFormat="1" applyFont="1" applyFill="1" applyAlignment="1">
      <alignment horizontal="center" vertical="center" shrinkToFit="1"/>
    </xf>
    <xf numFmtId="3" fontId="55" fillId="0" borderId="0" xfId="4" applyNumberFormat="1" applyFont="1" applyAlignment="1">
      <alignment horizontal="center" vertical="center" shrinkToFit="1"/>
    </xf>
    <xf numFmtId="3" fontId="61" fillId="0" borderId="0" xfId="4" applyNumberFormat="1" applyFont="1" applyAlignment="1">
      <alignment horizontal="center" vertical="center" shrinkToFit="1"/>
    </xf>
    <xf numFmtId="3" fontId="65" fillId="0" borderId="0" xfId="4" applyNumberFormat="1" applyFont="1" applyAlignment="1">
      <alignment horizontal="center" vertical="center" shrinkToFit="1"/>
    </xf>
    <xf numFmtId="3" fontId="18" fillId="0" borderId="0" xfId="4" applyNumberFormat="1" applyFont="1" applyAlignment="1">
      <alignment horizontal="right" vertical="center" shrinkToFit="1"/>
    </xf>
    <xf numFmtId="3" fontId="13" fillId="0" borderId="0" xfId="4" applyNumberFormat="1" applyFont="1" applyAlignment="1">
      <alignment horizontal="center" vertical="center" shrinkToFit="1"/>
    </xf>
    <xf numFmtId="3" fontId="9" fillId="0" borderId="0" xfId="4" applyNumberFormat="1" applyFont="1" applyAlignment="1">
      <alignment horizontal="right" vertical="center" shrinkToFit="1"/>
    </xf>
    <xf numFmtId="3" fontId="76" fillId="0" borderId="0" xfId="14" applyNumberFormat="1" applyFont="1" applyAlignment="1">
      <alignment horizontal="center" vertical="center" shrinkToFit="1"/>
    </xf>
    <xf numFmtId="3" fontId="13" fillId="0" borderId="0" xfId="4" applyNumberFormat="1" applyFont="1" applyAlignment="1">
      <alignment horizontal="right" vertical="center" shrinkToFit="1"/>
    </xf>
    <xf numFmtId="3" fontId="12" fillId="0" borderId="0" xfId="4" applyNumberFormat="1" applyFont="1" applyAlignment="1">
      <alignment horizontal="center" vertical="center" shrinkToFit="1"/>
    </xf>
    <xf numFmtId="0" fontId="81" fillId="0" borderId="0" xfId="0" applyFont="1" applyAlignment="1">
      <alignment horizontal="right" vertical="center"/>
    </xf>
    <xf numFmtId="37" fontId="81" fillId="0" borderId="0" xfId="0" applyNumberFormat="1" applyFont="1" applyAlignment="1">
      <alignment horizontal="right" vertical="center" shrinkToFit="1" readingOrder="2"/>
    </xf>
    <xf numFmtId="1" fontId="81" fillId="0" borderId="0" xfId="0" applyNumberFormat="1" applyFont="1" applyAlignment="1">
      <alignment horizontal="right" shrinkToFit="1" readingOrder="2"/>
    </xf>
    <xf numFmtId="37" fontId="81" fillId="0" borderId="0" xfId="0" applyNumberFormat="1" applyFont="1" applyAlignment="1">
      <alignment horizontal="right" shrinkToFit="1" readingOrder="2"/>
    </xf>
    <xf numFmtId="37" fontId="81" fillId="0" borderId="0" xfId="0" applyNumberFormat="1" applyFont="1" applyAlignment="1">
      <alignment horizontal="right" readingOrder="2"/>
    </xf>
    <xf numFmtId="0" fontId="13" fillId="0" borderId="0" xfId="4" applyFont="1" applyAlignment="1">
      <alignment horizontal="center" vertical="center" shrinkToFit="1"/>
    </xf>
    <xf numFmtId="3" fontId="82" fillId="0" borderId="0" xfId="4" applyNumberFormat="1" applyFont="1" applyAlignment="1">
      <alignment horizontal="center" vertical="center" shrinkToFit="1"/>
    </xf>
    <xf numFmtId="0" fontId="83" fillId="0" borderId="0" xfId="9" applyFont="1" applyAlignment="1">
      <alignment horizontal="center"/>
    </xf>
    <xf numFmtId="0" fontId="84" fillId="0" borderId="0" xfId="0" applyFont="1" applyAlignment="1">
      <alignment horizontal="center"/>
    </xf>
    <xf numFmtId="0" fontId="83" fillId="13" borderId="0" xfId="9" applyFont="1" applyFill="1" applyAlignment="1">
      <alignment horizontal="center"/>
    </xf>
    <xf numFmtId="0" fontId="83" fillId="3" borderId="0" xfId="9" applyFont="1" applyFill="1" applyAlignment="1">
      <alignment horizontal="center"/>
    </xf>
    <xf numFmtId="3" fontId="83" fillId="3" borderId="0" xfId="9" applyNumberFormat="1" applyFont="1" applyFill="1" applyAlignment="1">
      <alignment horizontal="center"/>
    </xf>
    <xf numFmtId="0" fontId="3" fillId="0" borderId="0" xfId="0" applyFont="1" applyAlignment="1">
      <alignment horizontal="right" readingOrder="2"/>
    </xf>
    <xf numFmtId="0" fontId="9" fillId="0" borderId="1" xfId="0" applyFont="1" applyBorder="1" applyAlignment="1">
      <alignment horizontal="center" vertical="center" readingOrder="2"/>
    </xf>
    <xf numFmtId="172" fontId="13" fillId="0" borderId="0" xfId="4" applyNumberFormat="1" applyFont="1" applyAlignment="1">
      <alignment horizontal="center" vertical="center"/>
    </xf>
    <xf numFmtId="172" fontId="13" fillId="0" borderId="4" xfId="4" applyNumberFormat="1" applyFont="1" applyBorder="1" applyAlignment="1">
      <alignment horizontal="center" vertical="center"/>
    </xf>
    <xf numFmtId="172" fontId="12" fillId="0" borderId="0" xfId="4" applyNumberFormat="1" applyFont="1" applyAlignment="1">
      <alignment horizontal="center" vertical="center"/>
    </xf>
    <xf numFmtId="172" fontId="72" fillId="0" borderId="4" xfId="4" applyNumberFormat="1" applyFont="1" applyBorder="1" applyAlignment="1">
      <alignment horizontal="center" vertical="center"/>
    </xf>
    <xf numFmtId="172" fontId="0" fillId="0" borderId="0" xfId="0" applyNumberFormat="1"/>
    <xf numFmtId="172" fontId="13" fillId="0" borderId="2" xfId="4" applyNumberFormat="1" applyFont="1" applyBorder="1" applyAlignment="1">
      <alignment horizontal="center" vertical="center"/>
    </xf>
    <xf numFmtId="172" fontId="72" fillId="0" borderId="0" xfId="4" applyNumberFormat="1" applyFont="1" applyAlignment="1">
      <alignment horizontal="center" vertical="center"/>
    </xf>
    <xf numFmtId="172" fontId="72" fillId="0" borderId="1" xfId="4" applyNumberFormat="1" applyFont="1" applyBorder="1" applyAlignment="1">
      <alignment horizontal="center" vertical="center"/>
    </xf>
    <xf numFmtId="172" fontId="13" fillId="0" borderId="1" xfId="4" applyNumberFormat="1" applyFont="1" applyBorder="1" applyAlignment="1">
      <alignment horizontal="center" vertical="center"/>
    </xf>
    <xf numFmtId="172" fontId="13" fillId="0" borderId="3" xfId="4" applyNumberFormat="1" applyFont="1" applyBorder="1" applyAlignment="1">
      <alignment horizontal="center" vertical="center"/>
    </xf>
    <xf numFmtId="172" fontId="13" fillId="0" borderId="0" xfId="4" applyNumberFormat="1" applyFont="1" applyAlignment="1">
      <alignment horizontal="center" vertical="center" shrinkToFit="1"/>
    </xf>
    <xf numFmtId="172" fontId="13" fillId="0" borderId="3" xfId="4" applyNumberFormat="1" applyFont="1" applyBorder="1" applyAlignment="1">
      <alignment horizontal="center" vertical="center" shrinkToFit="1"/>
    </xf>
    <xf numFmtId="172" fontId="13" fillId="4" borderId="0" xfId="4" applyNumberFormat="1" applyFont="1" applyFill="1" applyAlignment="1">
      <alignment horizontal="center" vertical="center" shrinkToFit="1"/>
    </xf>
    <xf numFmtId="172" fontId="13" fillId="4" borderId="0" xfId="4" applyNumberFormat="1" applyFont="1" applyFill="1" applyAlignment="1">
      <alignment horizontal="center" vertical="center"/>
    </xf>
    <xf numFmtId="172" fontId="13" fillId="4" borderId="1" xfId="4" applyNumberFormat="1" applyFont="1" applyFill="1" applyBorder="1" applyAlignment="1">
      <alignment horizontal="center" vertical="center"/>
    </xf>
    <xf numFmtId="172" fontId="13" fillId="4" borderId="2" xfId="4" applyNumberFormat="1" applyFont="1" applyFill="1" applyBorder="1" applyAlignment="1">
      <alignment horizontal="center" vertical="center"/>
    </xf>
    <xf numFmtId="172" fontId="13" fillId="4" borderId="1" xfId="4" applyNumberFormat="1" applyFont="1" applyFill="1" applyBorder="1" applyAlignment="1">
      <alignment horizontal="center" vertical="center" shrinkToFit="1"/>
    </xf>
    <xf numFmtId="172" fontId="13" fillId="4" borderId="2" xfId="4" applyNumberFormat="1" applyFont="1" applyFill="1" applyBorder="1" applyAlignment="1">
      <alignment horizontal="center" vertical="center" shrinkToFit="1"/>
    </xf>
    <xf numFmtId="172" fontId="18" fillId="0" borderId="0" xfId="4" applyNumberFormat="1" applyFont="1" applyAlignment="1">
      <alignment horizontal="center" vertical="center"/>
    </xf>
    <xf numFmtId="172" fontId="41" fillId="0" borderId="0" xfId="4" applyNumberFormat="1" applyFont="1" applyAlignment="1">
      <alignment horizontal="center" vertical="center"/>
    </xf>
    <xf numFmtId="172" fontId="18" fillId="4" borderId="4" xfId="4" applyNumberFormat="1" applyFont="1" applyFill="1" applyBorder="1" applyAlignment="1">
      <alignment horizontal="center" vertical="center"/>
    </xf>
    <xf numFmtId="172" fontId="40" fillId="0" borderId="0" xfId="4" applyNumberFormat="1" applyFont="1" applyAlignment="1">
      <alignment horizontal="center" vertical="center"/>
    </xf>
    <xf numFmtId="172" fontId="18" fillId="4" borderId="0" xfId="4" applyNumberFormat="1" applyFont="1" applyFill="1" applyAlignment="1">
      <alignment horizontal="center" vertical="center"/>
    </xf>
    <xf numFmtId="172" fontId="18" fillId="4" borderId="2" xfId="4" applyNumberFormat="1" applyFont="1" applyFill="1" applyBorder="1" applyAlignment="1">
      <alignment horizontal="center" vertical="center"/>
    </xf>
    <xf numFmtId="0" fontId="38" fillId="0" borderId="0" xfId="0" applyFont="1" applyAlignment="1">
      <alignment horizontal="right" vertical="center" readingOrder="2"/>
    </xf>
    <xf numFmtId="0" fontId="3" fillId="0" borderId="0" xfId="0" applyFont="1" applyAlignment="1">
      <alignment horizontal="center" readingOrder="2"/>
    </xf>
    <xf numFmtId="0" fontId="47" fillId="0" borderId="0" xfId="0" applyFont="1"/>
    <xf numFmtId="0" fontId="3" fillId="0" borderId="1" xfId="0" applyFont="1" applyBorder="1" applyAlignment="1">
      <alignment horizontal="left" readingOrder="2"/>
    </xf>
    <xf numFmtId="49" fontId="3" fillId="0" borderId="0" xfId="0" applyNumberFormat="1" applyFont="1" applyAlignment="1">
      <alignment horizontal="center" vertical="center"/>
    </xf>
    <xf numFmtId="0" fontId="59" fillId="0" borderId="0" xfId="0" applyFont="1" applyAlignment="1">
      <alignment horizontal="center"/>
    </xf>
    <xf numFmtId="0" fontId="26" fillId="0" borderId="0" xfId="0" applyFont="1" applyAlignment="1">
      <alignment horizontal="right" readingOrder="2"/>
    </xf>
    <xf numFmtId="0" fontId="60" fillId="0" borderId="5" xfId="0" applyFont="1" applyBorder="1" applyAlignment="1">
      <alignment horizontal="center" vertical="center"/>
    </xf>
    <xf numFmtId="0" fontId="60" fillId="0" borderId="0" xfId="0" applyFont="1" applyAlignment="1">
      <alignment horizontal="center" vertical="center"/>
    </xf>
    <xf numFmtId="0" fontId="13" fillId="0" borderId="0" xfId="0" applyFont="1" applyAlignment="1">
      <alignment horizontal="center" vertical="center"/>
    </xf>
    <xf numFmtId="0" fontId="50" fillId="0" borderId="0" xfId="0" applyFont="1" applyAlignment="1">
      <alignment horizontal="center" vertical="center"/>
    </xf>
    <xf numFmtId="172" fontId="30" fillId="0" borderId="0" xfId="0" applyNumberFormat="1" applyFont="1" applyAlignment="1">
      <alignment horizontal="center" vertical="center" wrapText="1" readingOrder="2"/>
    </xf>
    <xf numFmtId="172" fontId="30" fillId="0" borderId="2" xfId="0" applyNumberFormat="1" applyFont="1" applyBorder="1" applyAlignment="1">
      <alignment horizontal="center" vertical="center" readingOrder="2"/>
    </xf>
    <xf numFmtId="172" fontId="30" fillId="0" borderId="0" xfId="0" applyNumberFormat="1" applyFont="1" applyAlignment="1">
      <alignment horizontal="center" vertical="center" readingOrder="2"/>
    </xf>
    <xf numFmtId="172" fontId="12" fillId="0" borderId="0" xfId="0" applyNumberFormat="1" applyFont="1" applyAlignment="1">
      <alignment readingOrder="2"/>
    </xf>
    <xf numFmtId="172" fontId="30" fillId="0" borderId="0" xfId="0" applyNumberFormat="1" applyFont="1" applyAlignment="1">
      <alignment readingOrder="2"/>
    </xf>
    <xf numFmtId="37" fontId="11" fillId="0" borderId="0" xfId="0" applyNumberFormat="1" applyFont="1" applyAlignment="1">
      <alignment readingOrder="2"/>
    </xf>
    <xf numFmtId="0" fontId="12" fillId="0" borderId="0" xfId="0" applyFont="1" applyAlignment="1">
      <alignment vertical="center" readingOrder="2"/>
    </xf>
    <xf numFmtId="0" fontId="70" fillId="0" borderId="0" xfId="0" applyFont="1"/>
    <xf numFmtId="3" fontId="12" fillId="0" borderId="0" xfId="0" applyNumberFormat="1" applyFont="1" applyAlignment="1">
      <alignment horizontal="center" vertical="center" readingOrder="2"/>
    </xf>
    <xf numFmtId="49" fontId="12" fillId="0" borderId="0" xfId="0" applyNumberFormat="1" applyFont="1" applyAlignment="1">
      <alignment horizontal="center" readingOrder="2"/>
    </xf>
    <xf numFmtId="169" fontId="9" fillId="0" borderId="0" xfId="0" applyNumberFormat="1" applyFont="1" applyAlignment="1">
      <alignment horizontal="center" vertical="center" wrapText="1" readingOrder="2"/>
    </xf>
    <xf numFmtId="171" fontId="18" fillId="0" borderId="2" xfId="0" applyNumberFormat="1" applyFont="1" applyBorder="1" applyAlignment="1">
      <alignment horizontal="center" vertical="center" readingOrder="2"/>
    </xf>
    <xf numFmtId="172" fontId="9" fillId="0" borderId="0" xfId="0" applyNumberFormat="1" applyFont="1" applyAlignment="1">
      <alignment readingOrder="2"/>
    </xf>
    <xf numFmtId="172" fontId="9" fillId="0" borderId="0" xfId="0" applyNumberFormat="1" applyFont="1" applyAlignment="1">
      <alignment horizontal="center" vertical="center" shrinkToFit="1" readingOrder="2"/>
    </xf>
    <xf numFmtId="172" fontId="9" fillId="0" borderId="0" xfId="0" applyNumberFormat="1" applyFont="1" applyAlignment="1">
      <alignment horizontal="center" vertical="center" readingOrder="2"/>
    </xf>
    <xf numFmtId="172" fontId="9" fillId="0" borderId="4" xfId="0" applyNumberFormat="1" applyFont="1" applyBorder="1" applyAlignment="1">
      <alignment horizontal="center" vertical="center" shrinkToFit="1" readingOrder="2"/>
    </xf>
    <xf numFmtId="172" fontId="0" fillId="0" borderId="0" xfId="0" applyNumberFormat="1" applyAlignment="1">
      <alignment horizontal="center" vertical="center"/>
    </xf>
    <xf numFmtId="172" fontId="9" fillId="0" borderId="2" xfId="0" applyNumberFormat="1" applyFont="1" applyBorder="1" applyAlignment="1">
      <alignment horizontal="center" vertical="center" shrinkToFit="1" readingOrder="2"/>
    </xf>
    <xf numFmtId="172" fontId="9" fillId="0" borderId="8" xfId="0" applyNumberFormat="1" applyFont="1" applyBorder="1" applyAlignment="1">
      <alignment horizontal="center" vertical="center" shrinkToFit="1" readingOrder="2"/>
    </xf>
    <xf numFmtId="172" fontId="71" fillId="0" borderId="0" xfId="0" applyNumberFormat="1" applyFont="1" applyAlignment="1">
      <alignment horizontal="center" vertical="center" wrapText="1" readingOrder="2"/>
    </xf>
    <xf numFmtId="172" fontId="9" fillId="0" borderId="0" xfId="0" applyNumberFormat="1" applyFont="1" applyAlignment="1">
      <alignment horizontal="center" vertical="center" wrapText="1" readingOrder="2"/>
    </xf>
    <xf numFmtId="172" fontId="9" fillId="0" borderId="2" xfId="0" applyNumberFormat="1" applyFont="1" applyBorder="1" applyAlignment="1">
      <alignment horizontal="center" vertical="center" readingOrder="2"/>
    </xf>
    <xf numFmtId="37" fontId="9" fillId="9" borderId="0" xfId="0" applyNumberFormat="1" applyFont="1" applyFill="1" applyAlignment="1">
      <alignment horizontal="right" shrinkToFit="1" readingOrder="2"/>
    </xf>
    <xf numFmtId="3" fontId="76" fillId="9" borderId="0" xfId="14" applyNumberFormat="1" applyFont="1" applyFill="1" applyAlignment="1">
      <alignment horizontal="center" vertical="center"/>
    </xf>
    <xf numFmtId="168" fontId="9" fillId="0" borderId="3" xfId="0" applyNumberFormat="1" applyFont="1" applyBorder="1" applyAlignment="1">
      <alignment horizontal="center" vertical="center" wrapText="1" readingOrder="2"/>
    </xf>
    <xf numFmtId="0" fontId="9" fillId="0" borderId="1" xfId="0" applyFont="1" applyBorder="1" applyAlignment="1">
      <alignment readingOrder="2"/>
    </xf>
    <xf numFmtId="171" fontId="9" fillId="0" borderId="0" xfId="0" applyNumberFormat="1" applyFont="1" applyAlignment="1">
      <alignment readingOrder="2"/>
    </xf>
    <xf numFmtId="171" fontId="9" fillId="0" borderId="3" xfId="0" applyNumberFormat="1" applyFont="1" applyBorder="1" applyAlignment="1">
      <alignment horizontal="center" vertical="center" wrapText="1" readingOrder="2"/>
    </xf>
    <xf numFmtId="171" fontId="20" fillId="0" borderId="2" xfId="0" applyNumberFormat="1" applyFont="1" applyBorder="1" applyAlignment="1">
      <alignment horizontal="center" vertical="center" readingOrder="2"/>
    </xf>
    <xf numFmtId="37" fontId="78" fillId="0" borderId="0" xfId="0" applyNumberFormat="1" applyFont="1" applyAlignment="1">
      <alignment horizontal="right" shrinkToFit="1" readingOrder="2"/>
    </xf>
    <xf numFmtId="37" fontId="18" fillId="0" borderId="0" xfId="0" applyNumberFormat="1" applyFont="1" applyAlignment="1">
      <alignment shrinkToFit="1" readingOrder="2"/>
    </xf>
    <xf numFmtId="171" fontId="9" fillId="0" borderId="8" xfId="0" applyNumberFormat="1" applyFont="1" applyBorder="1" applyAlignment="1">
      <alignment horizontal="center" vertical="center" readingOrder="2"/>
    </xf>
    <xf numFmtId="171" fontId="9" fillId="0" borderId="1" xfId="0" applyNumberFormat="1" applyFont="1" applyBorder="1" applyAlignment="1">
      <alignment horizontal="center" vertical="center" readingOrder="2"/>
    </xf>
    <xf numFmtId="171" fontId="13" fillId="0" borderId="0" xfId="0" applyNumberFormat="1" applyFont="1" applyAlignment="1">
      <alignment horizontal="right" shrinkToFit="1" readingOrder="2"/>
    </xf>
    <xf numFmtId="9" fontId="13" fillId="0" borderId="0" xfId="16" applyFont="1" applyFill="1" applyAlignment="1">
      <alignment readingOrder="2"/>
    </xf>
    <xf numFmtId="170" fontId="9" fillId="0" borderId="0" xfId="0" applyNumberFormat="1" applyFont="1" applyAlignment="1">
      <alignment horizontal="center" readingOrder="2"/>
    </xf>
    <xf numFmtId="170" fontId="80" fillId="0" borderId="0" xfId="0" applyNumberFormat="1" applyFont="1" applyAlignment="1">
      <alignment readingOrder="2"/>
    </xf>
    <xf numFmtId="9" fontId="41" fillId="0" borderId="0" xfId="16" applyFont="1" applyAlignment="1">
      <alignment horizontal="center" vertical="center"/>
    </xf>
    <xf numFmtId="43" fontId="41" fillId="0" borderId="0" xfId="17" applyFont="1" applyAlignment="1">
      <alignment horizontal="center" vertical="center"/>
    </xf>
    <xf numFmtId="37" fontId="9" fillId="0" borderId="0" xfId="0" applyNumberFormat="1" applyFont="1" applyAlignment="1">
      <alignment horizontal="right" wrapText="1" shrinkToFit="1" readingOrder="2"/>
    </xf>
    <xf numFmtId="9" fontId="41" fillId="0" borderId="0" xfId="4" applyNumberFormat="1" applyFont="1" applyAlignment="1">
      <alignment horizontal="center" vertical="center"/>
    </xf>
    <xf numFmtId="0" fontId="20" fillId="9" borderId="0" xfId="0" applyFont="1" applyFill="1" applyAlignment="1">
      <alignment horizontal="right" vertical="center" wrapText="1" shrinkToFit="1" readingOrder="2"/>
    </xf>
    <xf numFmtId="37" fontId="78" fillId="0" borderId="0" xfId="0" applyNumberFormat="1" applyFont="1" applyAlignment="1">
      <alignment horizontal="center" shrinkToFit="1" readingOrder="2"/>
    </xf>
    <xf numFmtId="37" fontId="85" fillId="0" borderId="0" xfId="0" applyNumberFormat="1" applyFont="1" applyAlignment="1">
      <alignment horizontal="center" vertical="center" readingOrder="2"/>
    </xf>
    <xf numFmtId="37" fontId="78" fillId="0" borderId="0" xfId="0" applyNumberFormat="1" applyFont="1" applyAlignment="1">
      <alignment shrinkToFit="1" readingOrder="2"/>
    </xf>
    <xf numFmtId="0" fontId="36" fillId="0" borderId="0" xfId="0" applyFont="1" applyAlignment="1">
      <alignment horizontal="right" vertical="center" wrapText="1"/>
    </xf>
    <xf numFmtId="0" fontId="26" fillId="0" borderId="0" xfId="0" applyFont="1" applyAlignment="1">
      <alignment horizontal="right" wrapText="1"/>
    </xf>
    <xf numFmtId="9" fontId="9" fillId="0" borderId="0" xfId="0" applyNumberFormat="1" applyFont="1" applyAlignment="1">
      <alignment horizontal="right" shrinkToFit="1" readingOrder="2"/>
    </xf>
    <xf numFmtId="37" fontId="12" fillId="3" borderId="0" xfId="0" applyNumberFormat="1" applyFont="1" applyFill="1" applyAlignment="1">
      <alignment horizontal="right" shrinkToFit="1" readingOrder="2"/>
    </xf>
    <xf numFmtId="172" fontId="9" fillId="3" borderId="0" xfId="0" applyNumberFormat="1" applyFont="1" applyFill="1" applyAlignment="1">
      <alignment horizontal="center" vertical="center" shrinkToFit="1" readingOrder="2"/>
    </xf>
    <xf numFmtId="37" fontId="87" fillId="0" borderId="0" xfId="0" applyNumberFormat="1" applyFont="1" applyAlignment="1">
      <alignment horizontal="center" readingOrder="2"/>
    </xf>
    <xf numFmtId="37" fontId="88" fillId="0" borderId="0" xfId="0" applyNumberFormat="1" applyFont="1" applyAlignment="1">
      <alignment readingOrder="2"/>
    </xf>
    <xf numFmtId="37" fontId="78" fillId="0" borderId="0" xfId="0" applyNumberFormat="1" applyFont="1" applyAlignment="1">
      <alignment readingOrder="2"/>
    </xf>
    <xf numFmtId="37" fontId="87" fillId="0" borderId="0" xfId="0" applyNumberFormat="1" applyFont="1" applyAlignment="1">
      <alignment horizontal="center" shrinkToFit="1" readingOrder="2"/>
    </xf>
    <xf numFmtId="37" fontId="86" fillId="0" borderId="0" xfId="0" applyNumberFormat="1" applyFont="1" applyAlignment="1">
      <alignment readingOrder="2"/>
    </xf>
    <xf numFmtId="37" fontId="85" fillId="0" borderId="0" xfId="0" applyNumberFormat="1" applyFont="1" applyAlignment="1">
      <alignment readingOrder="2"/>
    </xf>
    <xf numFmtId="37" fontId="86" fillId="0" borderId="0" xfId="0" applyNumberFormat="1" applyFont="1" applyAlignment="1">
      <alignment horizontal="center" shrinkToFit="1" readingOrder="2"/>
    </xf>
    <xf numFmtId="37" fontId="85" fillId="0" borderId="0" xfId="0" applyNumberFormat="1" applyFont="1" applyAlignment="1">
      <alignment horizontal="center" shrinkToFit="1" readingOrder="2"/>
    </xf>
    <xf numFmtId="0" fontId="85" fillId="0" borderId="0" xfId="0" applyFont="1" applyAlignment="1">
      <alignment horizontal="right" shrinkToFit="1" readingOrder="2"/>
    </xf>
    <xf numFmtId="173" fontId="85" fillId="0" borderId="1" xfId="0" applyNumberFormat="1" applyFont="1" applyBorder="1" applyAlignment="1">
      <alignment horizontal="center" shrinkToFit="1" readingOrder="2"/>
    </xf>
    <xf numFmtId="173" fontId="85" fillId="0" borderId="0" xfId="0" applyNumberFormat="1" applyFont="1" applyAlignment="1">
      <alignment horizontal="center" shrinkToFit="1" readingOrder="2"/>
    </xf>
    <xf numFmtId="171" fontId="85" fillId="0" borderId="0" xfId="0" applyNumberFormat="1" applyFont="1" applyAlignment="1">
      <alignment horizontal="center" vertical="center" wrapText="1" readingOrder="2"/>
    </xf>
    <xf numFmtId="171" fontId="18" fillId="0" borderId="0" xfId="0" applyNumberFormat="1" applyFont="1" applyAlignment="1">
      <alignment horizontal="center" vertical="center" wrapText="1" readingOrder="2"/>
    </xf>
    <xf numFmtId="37" fontId="85" fillId="0" borderId="0" xfId="0" applyNumberFormat="1" applyFont="1" applyAlignment="1">
      <alignment horizontal="center" vertical="center" shrinkToFit="1" readingOrder="2"/>
    </xf>
    <xf numFmtId="171" fontId="78" fillId="0" borderId="0" xfId="0" applyNumberFormat="1" applyFont="1" applyAlignment="1">
      <alignment horizontal="center" vertical="center" shrinkToFit="1" readingOrder="2"/>
    </xf>
    <xf numFmtId="174" fontId="78" fillId="0" borderId="0" xfId="0" applyNumberFormat="1" applyFont="1" applyAlignment="1">
      <alignment horizontal="center" vertical="center" shrinkToFit="1" readingOrder="2"/>
    </xf>
    <xf numFmtId="171" fontId="78" fillId="3" borderId="0" xfId="0" applyNumberFormat="1" applyFont="1" applyFill="1" applyAlignment="1">
      <alignment horizontal="center" vertical="center" shrinkToFit="1" readingOrder="2"/>
    </xf>
    <xf numFmtId="37" fontId="78" fillId="0" borderId="0" xfId="0" applyNumberFormat="1" applyFont="1" applyAlignment="1">
      <alignment vertical="center" readingOrder="2"/>
    </xf>
    <xf numFmtId="37" fontId="78" fillId="0" borderId="0" xfId="0" applyNumberFormat="1" applyFont="1" applyAlignment="1">
      <alignment horizontal="center" vertical="center" readingOrder="2"/>
    </xf>
    <xf numFmtId="37" fontId="89" fillId="0" borderId="0" xfId="0" applyNumberFormat="1" applyFont="1" applyAlignment="1">
      <alignment horizontal="right" vertical="center" shrinkToFit="1" readingOrder="2"/>
    </xf>
    <xf numFmtId="171" fontId="85" fillId="3" borderId="2" xfId="0" applyNumberFormat="1" applyFont="1" applyFill="1" applyBorder="1" applyAlignment="1">
      <alignment horizontal="center" shrinkToFit="1" readingOrder="2"/>
    </xf>
    <xf numFmtId="174" fontId="85" fillId="3" borderId="0" xfId="0" applyNumberFormat="1" applyFont="1" applyFill="1" applyAlignment="1">
      <alignment horizontal="center" shrinkToFit="1" readingOrder="2"/>
    </xf>
    <xf numFmtId="171" fontId="85" fillId="3" borderId="0" xfId="0" applyNumberFormat="1" applyFont="1" applyFill="1" applyAlignment="1">
      <alignment horizontal="center" shrinkToFit="1" readingOrder="2"/>
    </xf>
    <xf numFmtId="37" fontId="78" fillId="3" borderId="0" xfId="0" applyNumberFormat="1" applyFont="1" applyFill="1" applyAlignment="1">
      <alignment readingOrder="2"/>
    </xf>
    <xf numFmtId="37" fontId="78" fillId="0" borderId="0" xfId="0" applyNumberFormat="1" applyFont="1" applyAlignment="1">
      <alignment horizontal="right" vertical="top" wrapText="1" readingOrder="2"/>
    </xf>
    <xf numFmtId="37" fontId="78" fillId="0" borderId="0" xfId="0" applyNumberFormat="1" applyFont="1" applyAlignment="1">
      <alignment horizontal="right" vertical="center" readingOrder="2"/>
    </xf>
    <xf numFmtId="37" fontId="78" fillId="0" borderId="0" xfId="0" applyNumberFormat="1" applyFont="1" applyAlignment="1">
      <alignment horizontal="center" readingOrder="2"/>
    </xf>
    <xf numFmtId="49" fontId="85" fillId="0" borderId="0" xfId="0" applyNumberFormat="1" applyFont="1" applyAlignment="1">
      <alignment horizontal="center" vertical="center" wrapText="1" readingOrder="2"/>
    </xf>
    <xf numFmtId="49" fontId="85" fillId="0" borderId="0" xfId="0" applyNumberFormat="1" applyFont="1" applyAlignment="1">
      <alignment horizontal="center" vertical="center" readingOrder="2"/>
    </xf>
    <xf numFmtId="49" fontId="85" fillId="0" borderId="1" xfId="0" applyNumberFormat="1" applyFont="1" applyBorder="1" applyAlignment="1">
      <alignment horizontal="center" vertical="center" readingOrder="2"/>
    </xf>
    <xf numFmtId="37" fontId="85" fillId="0" borderId="1" xfId="0" applyNumberFormat="1" applyFont="1" applyBorder="1" applyAlignment="1">
      <alignment horizontal="right" vertical="center" shrinkToFit="1" readingOrder="2"/>
    </xf>
    <xf numFmtId="171" fontId="78" fillId="0" borderId="0" xfId="0" applyNumberFormat="1" applyFont="1" applyAlignment="1">
      <alignment shrinkToFit="1" readingOrder="2"/>
    </xf>
    <xf numFmtId="37" fontId="78" fillId="0" borderId="0" xfId="0" applyNumberFormat="1" applyFont="1" applyAlignment="1">
      <alignment horizontal="center" vertical="center" shrinkToFit="1" readingOrder="2"/>
    </xf>
    <xf numFmtId="37" fontId="90" fillId="0" borderId="0" xfId="0" applyNumberFormat="1" applyFont="1" applyAlignment="1">
      <alignment horizontal="center" shrinkToFit="1" readingOrder="2"/>
    </xf>
    <xf numFmtId="37" fontId="90" fillId="0" borderId="0" xfId="0" applyNumberFormat="1" applyFont="1" applyAlignment="1">
      <alignment readingOrder="2"/>
    </xf>
    <xf numFmtId="37" fontId="90" fillId="0" borderId="0" xfId="0" applyNumberFormat="1" applyFont="1" applyAlignment="1">
      <alignment horizontal="center" readingOrder="2"/>
    </xf>
    <xf numFmtId="37" fontId="89" fillId="0" borderId="0" xfId="0" applyNumberFormat="1" applyFont="1" applyAlignment="1">
      <alignment horizontal="center" shrinkToFit="1" readingOrder="2"/>
    </xf>
    <xf numFmtId="38" fontId="41" fillId="0" borderId="0" xfId="4" applyNumberFormat="1" applyFont="1" applyAlignment="1">
      <alignment horizontal="center" vertical="center"/>
    </xf>
    <xf numFmtId="3" fontId="9" fillId="0" borderId="0" xfId="4" applyNumberFormat="1" applyFont="1" applyAlignment="1">
      <alignment vertical="center"/>
    </xf>
    <xf numFmtId="3" fontId="91" fillId="0" borderId="0" xfId="14" applyNumberFormat="1" applyFont="1" applyAlignment="1">
      <alignment horizontal="center" vertical="center"/>
    </xf>
    <xf numFmtId="0" fontId="83" fillId="0" borderId="37" xfId="9" applyFont="1" applyBorder="1"/>
    <xf numFmtId="0" fontId="83" fillId="0" borderId="0" xfId="9" applyFont="1"/>
    <xf numFmtId="37" fontId="88" fillId="0" borderId="0" xfId="0" applyNumberFormat="1" applyFont="1" applyAlignment="1">
      <alignment horizontal="center" shrinkToFit="1" readingOrder="2"/>
    </xf>
    <xf numFmtId="37" fontId="88" fillId="0" borderId="0" xfId="0" applyNumberFormat="1" applyFont="1" applyAlignment="1">
      <alignment horizontal="center" readingOrder="2"/>
    </xf>
    <xf numFmtId="37" fontId="88" fillId="0" borderId="0" xfId="0" applyNumberFormat="1" applyFont="1" applyAlignment="1">
      <alignment horizontal="center" vertical="center" readingOrder="2"/>
    </xf>
    <xf numFmtId="49" fontId="78" fillId="0" borderId="0" xfId="0" applyNumberFormat="1" applyFont="1" applyAlignment="1">
      <alignment horizontal="center" vertical="center" readingOrder="2"/>
    </xf>
    <xf numFmtId="49" fontId="78" fillId="0" borderId="1" xfId="0" applyNumberFormat="1" applyFont="1" applyBorder="1" applyAlignment="1">
      <alignment horizontal="center" vertical="center" readingOrder="2"/>
    </xf>
    <xf numFmtId="0" fontId="78" fillId="0" borderId="0" xfId="0" applyFont="1" applyAlignment="1">
      <alignment horizontal="right" vertical="center" shrinkToFit="1" readingOrder="2"/>
    </xf>
    <xf numFmtId="37" fontId="78" fillId="0" borderId="1" xfId="0" applyNumberFormat="1" applyFont="1" applyBorder="1" applyAlignment="1">
      <alignment horizontal="center" vertical="center" readingOrder="2"/>
    </xf>
    <xf numFmtId="37" fontId="78" fillId="0" borderId="4" xfId="0" applyNumberFormat="1" applyFont="1" applyBorder="1" applyAlignment="1">
      <alignment horizontal="center" vertical="center" readingOrder="2"/>
    </xf>
    <xf numFmtId="37" fontId="78" fillId="0" borderId="4" xfId="0" applyNumberFormat="1" applyFont="1" applyBorder="1" applyAlignment="1">
      <alignment horizontal="center" vertical="center" wrapText="1" readingOrder="2"/>
    </xf>
    <xf numFmtId="0" fontId="78" fillId="0" borderId="0" xfId="0" applyFont="1" applyAlignment="1">
      <alignment vertical="center" wrapText="1" readingOrder="2"/>
    </xf>
    <xf numFmtId="49" fontId="78" fillId="0" borderId="0" xfId="0" applyNumberFormat="1" applyFont="1" applyAlignment="1">
      <alignment horizontal="center" vertical="center" wrapText="1" readingOrder="2"/>
    </xf>
    <xf numFmtId="172" fontId="82" fillId="0" borderId="0" xfId="0" applyNumberFormat="1" applyFont="1" applyAlignment="1">
      <alignment horizontal="center" vertical="center" wrapText="1" readingOrder="2"/>
    </xf>
    <xf numFmtId="172" fontId="82" fillId="0" borderId="2" xfId="0" applyNumberFormat="1" applyFont="1" applyBorder="1" applyAlignment="1">
      <alignment horizontal="center" vertical="center" readingOrder="2"/>
    </xf>
    <xf numFmtId="172" fontId="82" fillId="0" borderId="0" xfId="0" applyNumberFormat="1" applyFont="1" applyAlignment="1">
      <alignment readingOrder="2"/>
    </xf>
    <xf numFmtId="172" fontId="82" fillId="0" borderId="0" xfId="0" applyNumberFormat="1" applyFont="1" applyAlignment="1">
      <alignment horizontal="center" vertical="center" readingOrder="2"/>
    </xf>
    <xf numFmtId="37" fontId="78" fillId="0" borderId="0" xfId="0" applyNumberFormat="1" applyFont="1" applyAlignment="1">
      <alignment horizontal="right" vertical="center" shrinkToFit="1" readingOrder="2"/>
    </xf>
    <xf numFmtId="49" fontId="78" fillId="0" borderId="0" xfId="0" applyNumberFormat="1" applyFont="1" applyAlignment="1">
      <alignment horizontal="center" vertical="center" shrinkToFit="1" readingOrder="2"/>
    </xf>
    <xf numFmtId="172" fontId="78" fillId="0" borderId="0" xfId="0" applyNumberFormat="1" applyFont="1" applyAlignment="1">
      <alignment vertical="center" wrapText="1" readingOrder="2"/>
    </xf>
    <xf numFmtId="172" fontId="78" fillId="0" borderId="0" xfId="0" applyNumberFormat="1" applyFont="1" applyAlignment="1">
      <alignment readingOrder="2"/>
    </xf>
    <xf numFmtId="172" fontId="78" fillId="0" borderId="0" xfId="0" applyNumberFormat="1" applyFont="1" applyAlignment="1">
      <alignment horizontal="center" vertical="center" readingOrder="2"/>
    </xf>
    <xf numFmtId="37" fontId="78" fillId="0" borderId="1" xfId="0" applyNumberFormat="1" applyFont="1" applyBorder="1" applyAlignment="1">
      <alignment horizontal="center" vertical="center" wrapText="1" readingOrder="2"/>
    </xf>
    <xf numFmtId="37" fontId="95" fillId="0" borderId="0" xfId="0" applyNumberFormat="1" applyFont="1" applyAlignment="1">
      <alignment shrinkToFit="1" readingOrder="2"/>
    </xf>
    <xf numFmtId="0" fontId="95" fillId="0" borderId="0" xfId="0" applyFont="1" applyAlignment="1">
      <alignment horizontal="center" vertical="center" readingOrder="2"/>
    </xf>
    <xf numFmtId="0" fontId="95" fillId="0" borderId="1" xfId="0" applyFont="1" applyBorder="1" applyAlignment="1">
      <alignment horizontal="center" vertical="center" readingOrder="2"/>
    </xf>
    <xf numFmtId="37" fontId="95" fillId="0" borderId="1" xfId="0" applyNumberFormat="1" applyFont="1" applyBorder="1" applyAlignment="1">
      <alignment horizontal="center" vertical="center" readingOrder="2"/>
    </xf>
    <xf numFmtId="37" fontId="95" fillId="0" borderId="4" xfId="0" applyNumberFormat="1" applyFont="1" applyBorder="1" applyAlignment="1">
      <alignment horizontal="center" vertical="center" readingOrder="2"/>
    </xf>
    <xf numFmtId="37" fontId="95" fillId="0" borderId="0" xfId="0" applyNumberFormat="1" applyFont="1" applyAlignment="1">
      <alignment horizontal="center" vertical="center" readingOrder="2"/>
    </xf>
    <xf numFmtId="37" fontId="95" fillId="0" borderId="4" xfId="0" applyNumberFormat="1" applyFont="1" applyBorder="1" applyAlignment="1">
      <alignment horizontal="center" vertical="center" wrapText="1" readingOrder="2"/>
    </xf>
    <xf numFmtId="0" fontId="96" fillId="0" borderId="0" xfId="0" applyFont="1"/>
    <xf numFmtId="37" fontId="95" fillId="0" borderId="0" xfId="0" applyNumberFormat="1" applyFont="1" applyAlignment="1">
      <alignment horizontal="right" vertical="center" shrinkToFit="1" readingOrder="2"/>
    </xf>
    <xf numFmtId="49" fontId="95" fillId="0" borderId="0" xfId="0" applyNumberFormat="1" applyFont="1" applyAlignment="1">
      <alignment horizontal="center" vertical="center" shrinkToFit="1" readingOrder="2"/>
    </xf>
    <xf numFmtId="172" fontId="97" fillId="0" borderId="0" xfId="0" applyNumberFormat="1" applyFont="1" applyAlignment="1">
      <alignment horizontal="center" vertical="center" wrapText="1" readingOrder="2"/>
    </xf>
    <xf numFmtId="172" fontId="95" fillId="0" borderId="0" xfId="0" applyNumberFormat="1" applyFont="1" applyAlignment="1">
      <alignment vertical="center" wrapText="1" readingOrder="2"/>
    </xf>
    <xf numFmtId="172" fontId="95" fillId="0" borderId="0" xfId="0" applyNumberFormat="1" applyFont="1" applyAlignment="1">
      <alignment readingOrder="2"/>
    </xf>
    <xf numFmtId="172" fontId="95" fillId="0" borderId="0" xfId="0" applyNumberFormat="1" applyFont="1" applyAlignment="1">
      <alignment horizontal="center" vertical="center" readingOrder="2"/>
    </xf>
    <xf numFmtId="172" fontId="97" fillId="0" borderId="2" xfId="0" applyNumberFormat="1" applyFont="1" applyBorder="1" applyAlignment="1">
      <alignment horizontal="center" vertical="center" readingOrder="2"/>
    </xf>
    <xf numFmtId="172" fontId="97" fillId="0" borderId="0" xfId="0" applyNumberFormat="1" applyFont="1" applyAlignment="1">
      <alignment readingOrder="2"/>
    </xf>
    <xf numFmtId="172" fontId="97" fillId="0" borderId="0" xfId="0" applyNumberFormat="1" applyFont="1" applyAlignment="1">
      <alignment horizontal="center" vertical="center" readingOrder="2"/>
    </xf>
    <xf numFmtId="168" fontId="97" fillId="0" borderId="0" xfId="0" applyNumberFormat="1" applyFont="1" applyAlignment="1">
      <alignment horizontal="center" vertical="center" wrapText="1" readingOrder="2"/>
    </xf>
    <xf numFmtId="0" fontId="95" fillId="0" borderId="0" xfId="0" applyFont="1" applyAlignment="1">
      <alignment vertical="center" wrapText="1" readingOrder="2"/>
    </xf>
    <xf numFmtId="1" fontId="97" fillId="0" borderId="0" xfId="0" applyNumberFormat="1" applyFont="1" applyAlignment="1">
      <alignment horizontal="center" vertical="center" wrapText="1" readingOrder="2"/>
    </xf>
    <xf numFmtId="37" fontId="95" fillId="0" borderId="0" xfId="0" applyNumberFormat="1" applyFont="1" applyAlignment="1">
      <alignment readingOrder="2"/>
    </xf>
    <xf numFmtId="168" fontId="97" fillId="0" borderId="2" xfId="0" applyNumberFormat="1" applyFont="1" applyBorder="1" applyAlignment="1">
      <alignment horizontal="center" vertical="center" readingOrder="2"/>
    </xf>
    <xf numFmtId="37" fontId="97" fillId="0" borderId="0" xfId="0" applyNumberFormat="1" applyFont="1" applyAlignment="1">
      <alignment readingOrder="2"/>
    </xf>
    <xf numFmtId="1" fontId="97" fillId="0" borderId="2" xfId="0" applyNumberFormat="1" applyFont="1" applyBorder="1" applyAlignment="1">
      <alignment horizontal="center" vertical="center" readingOrder="2"/>
    </xf>
    <xf numFmtId="37" fontId="97" fillId="0" borderId="0" xfId="0" applyNumberFormat="1" applyFont="1" applyAlignment="1">
      <alignment horizontal="center" vertical="center" readingOrder="2"/>
    </xf>
    <xf numFmtId="49" fontId="95" fillId="0" borderId="0" xfId="0" applyNumberFormat="1" applyFont="1" applyAlignment="1">
      <alignment horizontal="center" vertical="center" readingOrder="2"/>
    </xf>
    <xf numFmtId="49" fontId="95" fillId="0" borderId="1" xfId="0" applyNumberFormat="1" applyFont="1" applyBorder="1" applyAlignment="1">
      <alignment horizontal="center" vertical="center" readingOrder="2"/>
    </xf>
    <xf numFmtId="168" fontId="95" fillId="0" borderId="0" xfId="0" applyNumberFormat="1" applyFont="1" applyAlignment="1">
      <alignment vertical="center" wrapText="1" readingOrder="2"/>
    </xf>
    <xf numFmtId="168" fontId="95" fillId="0" borderId="0" xfId="0" applyNumberFormat="1" applyFont="1" applyAlignment="1">
      <alignment readingOrder="2"/>
    </xf>
    <xf numFmtId="0" fontId="98" fillId="0" borderId="0" xfId="0" applyFont="1" applyAlignment="1">
      <alignment horizontal="center"/>
    </xf>
    <xf numFmtId="0" fontId="98" fillId="0" borderId="2" xfId="0" applyFont="1" applyBorder="1" applyAlignment="1">
      <alignment horizontal="center"/>
    </xf>
    <xf numFmtId="0" fontId="99" fillId="0" borderId="0" xfId="0" applyFont="1" applyAlignment="1">
      <alignment horizontal="center" vertical="top" wrapText="1"/>
    </xf>
    <xf numFmtId="169" fontId="77" fillId="0" borderId="0" xfId="15" applyNumberFormat="1" applyFont="1" applyAlignment="1">
      <alignment horizontal="center" vertical="center" readingOrder="2"/>
    </xf>
    <xf numFmtId="172" fontId="9" fillId="0" borderId="0" xfId="0" applyNumberFormat="1" applyFont="1" applyAlignment="1">
      <alignment vertical="center" wrapText="1" readingOrder="2"/>
    </xf>
    <xf numFmtId="172" fontId="9" fillId="0" borderId="0" xfId="0" applyNumberFormat="1" applyFont="1" applyAlignment="1">
      <alignment vertical="center" shrinkToFit="1" readingOrder="2"/>
    </xf>
    <xf numFmtId="172" fontId="9" fillId="0" borderId="0" xfId="0" applyNumberFormat="1" applyFont="1" applyAlignment="1">
      <alignment horizontal="center" readingOrder="2"/>
    </xf>
    <xf numFmtId="0" fontId="9" fillId="0" borderId="0" xfId="0" applyFont="1" applyAlignment="1">
      <alignment vertical="center" readingOrder="2"/>
    </xf>
    <xf numFmtId="0" fontId="93" fillId="0" borderId="25" xfId="9" applyFont="1" applyBorder="1" applyAlignment="1">
      <alignment horizontal="center" vertical="center" wrapText="1" readingOrder="2"/>
    </xf>
    <xf numFmtId="0" fontId="93" fillId="0" borderId="21" xfId="9" applyFont="1" applyBorder="1" applyAlignment="1">
      <alignment horizontal="center" vertical="center" wrapText="1" readingOrder="2"/>
    </xf>
    <xf numFmtId="171" fontId="94" fillId="0" borderId="21" xfId="0" applyNumberFormat="1" applyFont="1" applyBorder="1" applyAlignment="1">
      <alignment horizontal="center" vertical="center" wrapText="1" readingOrder="2"/>
    </xf>
    <xf numFmtId="0" fontId="93" fillId="0" borderId="4" xfId="9" applyFont="1" applyBorder="1" applyAlignment="1">
      <alignment horizontal="center" vertical="center" wrapText="1" readingOrder="2"/>
    </xf>
    <xf numFmtId="0" fontId="20" fillId="0" borderId="0" xfId="0" applyFont="1" applyAlignment="1">
      <alignment vertical="center" wrapText="1" readingOrder="2"/>
    </xf>
    <xf numFmtId="168" fontId="97" fillId="0" borderId="0" xfId="0" applyNumberFormat="1" applyFont="1" applyAlignment="1">
      <alignment horizontal="center" vertical="center" readingOrder="2"/>
    </xf>
    <xf numFmtId="1" fontId="97" fillId="0" borderId="0" xfId="0" applyNumberFormat="1" applyFont="1" applyAlignment="1">
      <alignment horizontal="center" vertical="center" readingOrder="2"/>
    </xf>
    <xf numFmtId="172" fontId="9" fillId="0" borderId="3" xfId="0" applyNumberFormat="1" applyFont="1" applyBorder="1" applyAlignment="1">
      <alignment horizontal="center" vertical="center" wrapText="1" readingOrder="2"/>
    </xf>
    <xf numFmtId="0" fontId="93" fillId="0" borderId="4" xfId="0" applyFont="1" applyBorder="1" applyAlignment="1">
      <alignment horizontal="center"/>
    </xf>
    <xf numFmtId="37" fontId="9" fillId="0" borderId="0" xfId="0" applyNumberFormat="1" applyFont="1" applyAlignment="1">
      <alignment wrapText="1" shrinkToFit="1" readingOrder="2"/>
    </xf>
    <xf numFmtId="168" fontId="9" fillId="0" borderId="4" xfId="0" applyNumberFormat="1" applyFont="1" applyBorder="1" applyAlignment="1">
      <alignment horizontal="center" vertical="center" wrapText="1" readingOrder="2"/>
    </xf>
    <xf numFmtId="172" fontId="100" fillId="0" borderId="0" xfId="17" applyNumberFormat="1" applyFont="1" applyAlignment="1">
      <alignment horizontal="center" vertical="center" readingOrder="2"/>
    </xf>
    <xf numFmtId="37" fontId="56" fillId="0" borderId="0" xfId="0" applyNumberFormat="1" applyFont="1" applyAlignment="1">
      <alignment horizontal="center" readingOrder="2"/>
    </xf>
    <xf numFmtId="37" fontId="56" fillId="0" borderId="0" xfId="0" applyNumberFormat="1" applyFont="1" applyAlignment="1">
      <alignment readingOrder="2"/>
    </xf>
    <xf numFmtId="37" fontId="56" fillId="0" borderId="0" xfId="0" applyNumberFormat="1" applyFont="1" applyAlignment="1">
      <alignment horizontal="center" vertical="center" readingOrder="2"/>
    </xf>
    <xf numFmtId="37" fontId="56" fillId="0" borderId="0" xfId="0" applyNumberFormat="1" applyFont="1" applyAlignment="1">
      <alignment shrinkToFit="1" readingOrder="2"/>
    </xf>
    <xf numFmtId="37" fontId="56" fillId="0" borderId="0" xfId="0" applyNumberFormat="1" applyFont="1" applyAlignment="1">
      <alignment horizontal="center" shrinkToFit="1" readingOrder="2"/>
    </xf>
    <xf numFmtId="37" fontId="20" fillId="0" borderId="0" xfId="0" applyNumberFormat="1" applyFont="1" applyAlignment="1">
      <alignment horizontal="center" vertical="center" wrapText="1" shrinkToFit="1" readingOrder="2"/>
    </xf>
    <xf numFmtId="49" fontId="20" fillId="0" borderId="0" xfId="0" applyNumberFormat="1" applyFont="1" applyAlignment="1">
      <alignment horizontal="center" vertical="center" wrapText="1" readingOrder="2"/>
    </xf>
    <xf numFmtId="37" fontId="20" fillId="0" borderId="4" xfId="0" applyNumberFormat="1" applyFont="1" applyBorder="1" applyAlignment="1">
      <alignment horizontal="center" vertical="center" wrapText="1" readingOrder="2"/>
    </xf>
    <xf numFmtId="0" fontId="20" fillId="0" borderId="0" xfId="0" applyFont="1" applyAlignment="1">
      <alignment vertical="center" shrinkToFit="1" readingOrder="2"/>
    </xf>
    <xf numFmtId="168" fontId="20" fillId="0" borderId="0" xfId="0" applyNumberFormat="1" applyFont="1" applyAlignment="1">
      <alignment horizontal="center" vertical="center" shrinkToFit="1" readingOrder="2"/>
    </xf>
    <xf numFmtId="1" fontId="20" fillId="0" borderId="0" xfId="0" applyNumberFormat="1" applyFont="1" applyAlignment="1">
      <alignment horizontal="center" vertical="center" shrinkToFit="1" readingOrder="2"/>
    </xf>
    <xf numFmtId="37" fontId="20" fillId="0" borderId="0" xfId="0" applyNumberFormat="1" applyFont="1" applyAlignment="1">
      <alignment horizontal="center" readingOrder="2"/>
    </xf>
    <xf numFmtId="0" fontId="20" fillId="0" borderId="0" xfId="0" applyFont="1" applyAlignment="1">
      <alignment horizontal="center" vertical="center" wrapText="1" readingOrder="2"/>
    </xf>
    <xf numFmtId="49" fontId="20" fillId="0" borderId="0" xfId="0" applyNumberFormat="1" applyFont="1" applyAlignment="1">
      <alignment horizontal="center" readingOrder="2"/>
    </xf>
    <xf numFmtId="168" fontId="20" fillId="0" borderId="1" xfId="0" applyNumberFormat="1" applyFont="1" applyBorder="1" applyAlignment="1">
      <alignment horizontal="center" vertical="center" shrinkToFit="1" readingOrder="2"/>
    </xf>
    <xf numFmtId="1" fontId="20" fillId="0" borderId="1" xfId="0" applyNumberFormat="1" applyFont="1" applyBorder="1" applyAlignment="1">
      <alignment horizontal="center" vertical="center" shrinkToFit="1" readingOrder="2"/>
    </xf>
    <xf numFmtId="0" fontId="20" fillId="0" borderId="1" xfId="0" applyFont="1" applyBorder="1" applyAlignment="1">
      <alignment horizontal="center" vertical="center" shrinkToFit="1" readingOrder="2"/>
    </xf>
    <xf numFmtId="37" fontId="20" fillId="0" borderId="0" xfId="0" applyNumberFormat="1" applyFont="1" applyAlignment="1">
      <alignment shrinkToFit="1" readingOrder="2"/>
    </xf>
    <xf numFmtId="168" fontId="20" fillId="0" borderId="3" xfId="0" applyNumberFormat="1" applyFont="1" applyBorder="1" applyAlignment="1">
      <alignment horizontal="center" vertical="center" shrinkToFit="1" readingOrder="2"/>
    </xf>
    <xf numFmtId="1" fontId="20" fillId="0" borderId="3" xfId="0" applyNumberFormat="1" applyFont="1" applyBorder="1" applyAlignment="1">
      <alignment horizontal="center" vertical="center" shrinkToFit="1" readingOrder="2"/>
    </xf>
    <xf numFmtId="168" fontId="20" fillId="0" borderId="0" xfId="0" applyNumberFormat="1" applyFont="1" applyAlignment="1">
      <alignment shrinkToFit="1" readingOrder="2"/>
    </xf>
    <xf numFmtId="168" fontId="20" fillId="0" borderId="2" xfId="0" applyNumberFormat="1" applyFont="1" applyBorder="1" applyAlignment="1">
      <alignment horizontal="center" vertical="center" shrinkToFit="1" readingOrder="2"/>
    </xf>
    <xf numFmtId="168" fontId="20" fillId="0" borderId="0" xfId="0" applyNumberFormat="1" applyFont="1" applyAlignment="1">
      <alignment horizontal="center" readingOrder="2"/>
    </xf>
    <xf numFmtId="168" fontId="20" fillId="0" borderId="8" xfId="0" applyNumberFormat="1" applyFont="1" applyBorder="1" applyAlignment="1">
      <alignment horizontal="center" vertical="center" shrinkToFit="1" readingOrder="2"/>
    </xf>
    <xf numFmtId="168" fontId="20" fillId="0" borderId="0" xfId="0" applyNumberFormat="1" applyFont="1" applyAlignment="1">
      <alignment readingOrder="2"/>
    </xf>
    <xf numFmtId="0" fontId="98" fillId="0" borderId="21" xfId="9" applyFont="1" applyBorder="1" applyAlignment="1">
      <alignment horizontal="center" vertical="center" wrapText="1" readingOrder="2"/>
    </xf>
    <xf numFmtId="9" fontId="98" fillId="0" borderId="21" xfId="9" applyNumberFormat="1" applyFont="1" applyBorder="1" applyAlignment="1">
      <alignment horizontal="center" vertical="center" wrapText="1" readingOrder="2"/>
    </xf>
    <xf numFmtId="3" fontId="98" fillId="0" borderId="21" xfId="9" applyNumberFormat="1" applyFont="1" applyBorder="1" applyAlignment="1">
      <alignment horizontal="center" vertical="center" wrapText="1" readingOrder="2"/>
    </xf>
    <xf numFmtId="0" fontId="102" fillId="0" borderId="21" xfId="9" applyFont="1" applyBorder="1" applyAlignment="1">
      <alignment horizontal="center" vertical="center"/>
    </xf>
    <xf numFmtId="9" fontId="98" fillId="0" borderId="21" xfId="0" applyNumberFormat="1" applyFont="1" applyBorder="1" applyAlignment="1">
      <alignment horizontal="center" vertical="center"/>
    </xf>
    <xf numFmtId="0" fontId="98" fillId="0" borderId="21" xfId="0" applyFont="1" applyBorder="1" applyAlignment="1">
      <alignment horizontal="center" vertical="center"/>
    </xf>
    <xf numFmtId="0" fontId="98" fillId="0" borderId="4" xfId="9" applyFont="1" applyBorder="1" applyAlignment="1">
      <alignment horizontal="center" vertical="center" wrapText="1" readingOrder="2"/>
    </xf>
    <xf numFmtId="0" fontId="18" fillId="0" borderId="0" xfId="0" applyFont="1" applyAlignment="1">
      <alignment readingOrder="2"/>
    </xf>
    <xf numFmtId="170" fontId="20" fillId="0" borderId="0" xfId="0" applyNumberFormat="1" applyFont="1" applyAlignment="1">
      <alignment horizontal="center" vertical="center" shrinkToFit="1" readingOrder="2"/>
    </xf>
    <xf numFmtId="37" fontId="20" fillId="0" borderId="0" xfId="0" applyNumberFormat="1" applyFont="1" applyAlignment="1">
      <alignment horizontal="center" vertical="center" shrinkToFit="1" readingOrder="2"/>
    </xf>
    <xf numFmtId="1" fontId="20" fillId="0" borderId="0" xfId="0" applyNumberFormat="1" applyFont="1" applyAlignment="1">
      <alignment horizontal="center" vertical="center" readingOrder="2"/>
    </xf>
    <xf numFmtId="1" fontId="20" fillId="0" borderId="2" xfId="0" applyNumberFormat="1" applyFont="1" applyBorder="1" applyAlignment="1">
      <alignment horizontal="center" vertical="center" readingOrder="2"/>
    </xf>
    <xf numFmtId="3" fontId="20" fillId="0" borderId="0" xfId="0" applyNumberFormat="1" applyFont="1" applyAlignment="1">
      <alignment horizontal="center" vertical="center" readingOrder="2"/>
    </xf>
    <xf numFmtId="3" fontId="20" fillId="0" borderId="0" xfId="0" applyNumberFormat="1" applyFont="1" applyAlignment="1">
      <alignment horizontal="center" readingOrder="2"/>
    </xf>
    <xf numFmtId="170" fontId="20" fillId="0" borderId="2" xfId="0" applyNumberFormat="1" applyFont="1" applyBorder="1" applyAlignment="1">
      <alignment horizontal="center" vertical="center" readingOrder="2"/>
    </xf>
    <xf numFmtId="170" fontId="20" fillId="0" borderId="0" xfId="0" applyNumberFormat="1" applyFont="1" applyAlignment="1">
      <alignment horizontal="center" readingOrder="2"/>
    </xf>
    <xf numFmtId="170" fontId="20" fillId="0" borderId="0" xfId="0" applyNumberFormat="1" applyFont="1" applyAlignment="1">
      <alignment readingOrder="2"/>
    </xf>
    <xf numFmtId="170" fontId="36" fillId="0" borderId="0" xfId="0" applyNumberFormat="1" applyFont="1" applyAlignment="1">
      <alignment horizontal="center" vertical="center" shrinkToFit="1" readingOrder="2"/>
    </xf>
    <xf numFmtId="170" fontId="20" fillId="0" borderId="2" xfId="0" applyNumberFormat="1" applyFont="1" applyBorder="1" applyAlignment="1">
      <alignment horizontal="center" vertical="center" shrinkToFit="1" readingOrder="2"/>
    </xf>
    <xf numFmtId="170" fontId="20" fillId="0" borderId="1" xfId="0" applyNumberFormat="1" applyFont="1" applyBorder="1" applyAlignment="1">
      <alignment horizontal="center" vertical="center" shrinkToFit="1" readingOrder="2"/>
    </xf>
    <xf numFmtId="170" fontId="20" fillId="0" borderId="1" xfId="0" applyNumberFormat="1" applyFont="1" applyBorder="1" applyAlignment="1">
      <alignment horizontal="center" readingOrder="2"/>
    </xf>
    <xf numFmtId="170" fontId="20" fillId="0" borderId="1" xfId="0" applyNumberFormat="1" applyFont="1" applyBorder="1" applyAlignment="1">
      <alignment horizontal="center" vertical="center" readingOrder="2"/>
    </xf>
    <xf numFmtId="168" fontId="20" fillId="0" borderId="0" xfId="0" applyNumberFormat="1" applyFont="1" applyAlignment="1">
      <alignment horizontal="center" vertical="center" wrapText="1" readingOrder="2"/>
    </xf>
    <xf numFmtId="170" fontId="20" fillId="0" borderId="0" xfId="0" applyNumberFormat="1" applyFont="1" applyAlignment="1">
      <alignment horizontal="center" vertical="center" wrapText="1" readingOrder="2"/>
    </xf>
    <xf numFmtId="169" fontId="20" fillId="0" borderId="0" xfId="0" applyNumberFormat="1" applyFont="1" applyAlignment="1">
      <alignment horizontal="center" vertical="center" wrapText="1" readingOrder="2"/>
    </xf>
    <xf numFmtId="171" fontId="20" fillId="0" borderId="0" xfId="0" applyNumberFormat="1" applyFont="1" applyAlignment="1">
      <alignment horizontal="center" readingOrder="2"/>
    </xf>
    <xf numFmtId="49" fontId="20" fillId="0" borderId="0" xfId="0" applyNumberFormat="1" applyFont="1" applyAlignment="1">
      <alignment horizontal="center" vertical="center" readingOrder="2"/>
    </xf>
    <xf numFmtId="0" fontId="56" fillId="0" borderId="0" xfId="0" applyFont="1" applyAlignment="1">
      <alignment horizontal="center" readingOrder="2"/>
    </xf>
    <xf numFmtId="170" fontId="78" fillId="0" borderId="0" xfId="0" applyNumberFormat="1" applyFont="1" applyAlignment="1">
      <alignment horizontal="center" vertical="center" wrapText="1" readingOrder="2"/>
    </xf>
    <xf numFmtId="0" fontId="89" fillId="0" borderId="0" xfId="0" applyFont="1" applyAlignment="1">
      <alignment horizontal="right" vertical="center" readingOrder="2"/>
    </xf>
    <xf numFmtId="0" fontId="89" fillId="0" borderId="0" xfId="0" applyFont="1" applyAlignment="1">
      <alignment horizontal="center" vertical="center" readingOrder="2"/>
    </xf>
    <xf numFmtId="170" fontId="89" fillId="0" borderId="2" xfId="0" applyNumberFormat="1" applyFont="1" applyBorder="1" applyAlignment="1">
      <alignment horizontal="center" vertical="center" readingOrder="2"/>
    </xf>
    <xf numFmtId="168" fontId="95" fillId="0" borderId="0" xfId="0" applyNumberFormat="1" applyFont="1" applyAlignment="1">
      <alignment horizontal="center" vertical="center" wrapText="1" readingOrder="2"/>
    </xf>
    <xf numFmtId="0" fontId="100" fillId="0" borderId="0" xfId="0" applyFont="1" applyAlignment="1">
      <alignment horizontal="center" vertical="center" readingOrder="2"/>
    </xf>
    <xf numFmtId="1" fontId="100" fillId="0" borderId="0" xfId="0" applyNumberFormat="1" applyFont="1" applyAlignment="1">
      <alignment horizontal="center" vertical="center" readingOrder="2"/>
    </xf>
    <xf numFmtId="0" fontId="100" fillId="0" borderId="0" xfId="0" applyFont="1" applyAlignment="1">
      <alignment horizontal="right" vertical="center" readingOrder="2"/>
    </xf>
    <xf numFmtId="168" fontId="100" fillId="0" borderId="0" xfId="0" applyNumberFormat="1" applyFont="1" applyAlignment="1">
      <alignment horizontal="right" vertical="center" readingOrder="2"/>
    </xf>
    <xf numFmtId="168" fontId="100" fillId="0" borderId="0" xfId="0" applyNumberFormat="1" applyFont="1" applyAlignment="1">
      <alignment horizontal="center" vertical="center" readingOrder="2"/>
    </xf>
    <xf numFmtId="170" fontId="95" fillId="0" borderId="0" xfId="0" applyNumberFormat="1" applyFont="1" applyAlignment="1">
      <alignment horizontal="center" vertical="center" wrapText="1" readingOrder="2"/>
    </xf>
    <xf numFmtId="170" fontId="100" fillId="0" borderId="0" xfId="0" applyNumberFormat="1" applyFont="1" applyAlignment="1">
      <alignment horizontal="center" vertical="center" readingOrder="2"/>
    </xf>
    <xf numFmtId="1" fontId="100" fillId="0" borderId="2" xfId="0" applyNumberFormat="1" applyFont="1" applyBorder="1" applyAlignment="1">
      <alignment horizontal="center" vertical="center" readingOrder="2"/>
    </xf>
    <xf numFmtId="170" fontId="100" fillId="0" borderId="2" xfId="0" applyNumberFormat="1" applyFont="1" applyBorder="1" applyAlignment="1">
      <alignment horizontal="center" vertical="center" readingOrder="2"/>
    </xf>
    <xf numFmtId="0" fontId="18" fillId="0" borderId="0" xfId="0" applyFont="1" applyAlignment="1">
      <alignment horizontal="right" shrinkToFit="1" readingOrder="2"/>
    </xf>
    <xf numFmtId="49" fontId="9" fillId="0" borderId="1" xfId="0" applyNumberFormat="1" applyFont="1" applyBorder="1" applyAlignment="1">
      <alignment horizontal="center" vertical="center" readingOrder="2"/>
    </xf>
    <xf numFmtId="0" fontId="9" fillId="0" borderId="1" xfId="0" applyFont="1" applyBorder="1" applyAlignment="1">
      <alignment horizontal="center" readingOrder="2"/>
    </xf>
    <xf numFmtId="37" fontId="9" fillId="0" borderId="0" xfId="0" applyNumberFormat="1" applyFont="1" applyAlignment="1">
      <alignment readingOrder="2"/>
    </xf>
    <xf numFmtId="37" fontId="12" fillId="0" borderId="0" xfId="0" applyNumberFormat="1" applyFont="1" applyAlignment="1">
      <alignment horizontal="right" shrinkToFit="1" readingOrder="2"/>
    </xf>
    <xf numFmtId="3" fontId="97" fillId="0" borderId="2" xfId="0" applyNumberFormat="1" applyFont="1" applyBorder="1" applyAlignment="1">
      <alignment horizontal="center" vertical="center" readingOrder="2"/>
    </xf>
    <xf numFmtId="37" fontId="9" fillId="0" borderId="0" xfId="0" applyNumberFormat="1" applyFont="1" applyBorder="1" applyAlignment="1">
      <alignment horizontal="center" readingOrder="2"/>
    </xf>
    <xf numFmtId="37" fontId="9" fillId="0" borderId="0" xfId="0" applyNumberFormat="1" applyFont="1" applyBorder="1" applyAlignment="1">
      <alignment readingOrder="2"/>
    </xf>
    <xf numFmtId="0" fontId="13" fillId="0" borderId="0" xfId="0" applyFont="1" applyBorder="1" applyAlignment="1">
      <alignment horizontal="right" shrinkToFit="1" readingOrder="2"/>
    </xf>
    <xf numFmtId="37" fontId="12" fillId="0" borderId="0" xfId="0" applyNumberFormat="1" applyFont="1" applyBorder="1" applyAlignment="1">
      <alignment readingOrder="2"/>
    </xf>
    <xf numFmtId="37" fontId="20" fillId="0" borderId="0" xfId="0" applyNumberFormat="1" applyFont="1" applyBorder="1" applyAlignment="1">
      <alignment readingOrder="2"/>
    </xf>
    <xf numFmtId="170" fontId="12" fillId="0" borderId="0" xfId="0" applyNumberFormat="1" applyFont="1" applyBorder="1" applyAlignment="1">
      <alignment horizontal="center" readingOrder="2"/>
    </xf>
    <xf numFmtId="37" fontId="13" fillId="0" borderId="0" xfId="0" applyNumberFormat="1" applyFont="1" applyBorder="1" applyAlignment="1">
      <alignment readingOrder="2"/>
    </xf>
    <xf numFmtId="171" fontId="9" fillId="0" borderId="0" xfId="0" applyNumberFormat="1" applyFont="1" applyBorder="1" applyAlignment="1">
      <alignment horizontal="center" vertical="center" shrinkToFit="1" readingOrder="2"/>
    </xf>
    <xf numFmtId="168" fontId="9" fillId="0" borderId="0" xfId="0" applyNumberFormat="1" applyFont="1" applyBorder="1" applyAlignment="1">
      <alignment horizontal="center" vertical="center" readingOrder="2"/>
    </xf>
    <xf numFmtId="0" fontId="18" fillId="3" borderId="0" xfId="0" applyFont="1" applyFill="1" applyAlignment="1">
      <alignment horizontal="right" shrinkToFit="1" readingOrder="2"/>
    </xf>
    <xf numFmtId="37" fontId="9" fillId="0" borderId="0" xfId="0" applyNumberFormat="1" applyFont="1" applyAlignment="1">
      <alignment horizontal="right" shrinkToFit="1" readingOrder="2"/>
    </xf>
    <xf numFmtId="37" fontId="9" fillId="0" borderId="0" xfId="0" applyNumberFormat="1" applyFont="1" applyAlignment="1">
      <alignment readingOrder="2"/>
    </xf>
    <xf numFmtId="171" fontId="9" fillId="0" borderId="0" xfId="0" applyNumberFormat="1" applyFont="1" applyBorder="1" applyAlignment="1">
      <alignment horizontal="center" vertical="center" readingOrder="2"/>
    </xf>
    <xf numFmtId="37" fontId="9" fillId="0" borderId="0" xfId="0" applyNumberFormat="1" applyFont="1" applyAlignment="1">
      <alignment readingOrder="2"/>
    </xf>
    <xf numFmtId="0" fontId="0" fillId="0" borderId="0" xfId="0"/>
    <xf numFmtId="37" fontId="12" fillId="0" borderId="0" xfId="0" applyNumberFormat="1" applyFont="1" applyAlignment="1">
      <alignment horizontal="center" readingOrder="2"/>
    </xf>
    <xf numFmtId="37" fontId="9" fillId="0" borderId="1" xfId="0" applyNumberFormat="1" applyFont="1" applyBorder="1" applyAlignment="1">
      <alignment horizontal="center" vertical="center" readingOrder="2"/>
    </xf>
    <xf numFmtId="37" fontId="9" fillId="0" borderId="0" xfId="0" applyNumberFormat="1" applyFont="1" applyAlignment="1">
      <alignment horizontal="right" shrinkToFit="1" readingOrder="2"/>
    </xf>
    <xf numFmtId="37" fontId="9" fillId="0" borderId="0" xfId="0" applyNumberFormat="1" applyFont="1" applyAlignment="1">
      <alignment horizontal="right" vertical="center" shrinkToFit="1" readingOrder="2"/>
    </xf>
    <xf numFmtId="0" fontId="9" fillId="0" borderId="0" xfId="0" applyFont="1" applyAlignment="1">
      <alignment vertical="center" shrinkToFit="1" readingOrder="2"/>
    </xf>
    <xf numFmtId="0" fontId="9" fillId="0" borderId="0" xfId="0" applyFont="1" applyAlignment="1">
      <alignment horizontal="right" vertical="center" shrinkToFit="1" readingOrder="2"/>
    </xf>
    <xf numFmtId="0" fontId="9" fillId="0" borderId="1" xfId="0" applyFont="1" applyBorder="1" applyAlignment="1">
      <alignment horizontal="center" readingOrder="2"/>
    </xf>
    <xf numFmtId="0" fontId="13" fillId="0" borderId="0" xfId="0" applyFont="1" applyAlignment="1">
      <alignment horizontal="right" shrinkToFit="1" readingOrder="2"/>
    </xf>
    <xf numFmtId="0" fontId="9" fillId="0" borderId="0" xfId="0" applyFont="1" applyAlignment="1">
      <alignment horizontal="center" vertical="center" shrinkToFit="1" readingOrder="2"/>
    </xf>
    <xf numFmtId="37" fontId="9" fillId="0" borderId="0" xfId="0" applyNumberFormat="1" applyFont="1" applyAlignment="1">
      <alignment readingOrder="2"/>
    </xf>
    <xf numFmtId="0" fontId="12" fillId="0" borderId="0" xfId="0" applyFont="1" applyAlignment="1">
      <alignment horizontal="center" vertical="center" shrinkToFit="1" readingOrder="2"/>
    </xf>
    <xf numFmtId="9" fontId="13" fillId="0" borderId="0" xfId="0" applyNumberFormat="1" applyFont="1" applyAlignment="1">
      <alignment readingOrder="2"/>
    </xf>
    <xf numFmtId="168" fontId="12" fillId="0" borderId="0" xfId="0" applyNumberFormat="1" applyFont="1" applyBorder="1" applyAlignment="1">
      <alignment horizontal="center" vertical="center" readingOrder="2"/>
    </xf>
    <xf numFmtId="170" fontId="47" fillId="0" borderId="0" xfId="0" applyNumberFormat="1" applyFont="1" applyBorder="1" applyAlignment="1">
      <alignment horizontal="center" vertical="center" readingOrder="2"/>
    </xf>
    <xf numFmtId="169" fontId="12" fillId="0" borderId="0" xfId="0" applyNumberFormat="1" applyFont="1" applyAlignment="1">
      <alignment horizontal="center" vertical="center" readingOrder="2"/>
    </xf>
    <xf numFmtId="169" fontId="9" fillId="0" borderId="2" xfId="0" applyNumberFormat="1" applyFont="1" applyBorder="1" applyAlignment="1">
      <alignment horizontal="center" vertical="center" wrapText="1" readingOrder="2"/>
    </xf>
    <xf numFmtId="0" fontId="18" fillId="0" borderId="0" xfId="0" applyFont="1" applyAlignment="1">
      <alignment horizontal="right" shrinkToFit="1" readingOrder="2"/>
    </xf>
    <xf numFmtId="49" fontId="9" fillId="0" borderId="1" xfId="0" applyNumberFormat="1" applyFont="1" applyBorder="1" applyAlignment="1">
      <alignment horizontal="center" vertical="center" readingOrder="2"/>
    </xf>
    <xf numFmtId="37" fontId="9" fillId="0" borderId="0" xfId="0" applyNumberFormat="1" applyFont="1" applyAlignment="1">
      <alignment horizontal="right" shrinkToFit="1" readingOrder="2"/>
    </xf>
    <xf numFmtId="37" fontId="9" fillId="0" borderId="0" xfId="0" applyNumberFormat="1" applyFont="1" applyAlignment="1">
      <alignment horizontal="right" vertical="center" shrinkToFit="1" readingOrder="2"/>
    </xf>
    <xf numFmtId="0" fontId="9" fillId="0" borderId="1" xfId="0" applyFont="1" applyBorder="1" applyAlignment="1">
      <alignment horizontal="center" readingOrder="2"/>
    </xf>
    <xf numFmtId="0" fontId="13" fillId="0" borderId="0" xfId="0" applyFont="1" applyAlignment="1">
      <alignment horizontal="right" shrinkToFit="1" readingOrder="2"/>
    </xf>
    <xf numFmtId="37" fontId="9" fillId="0" borderId="0" xfId="0" applyNumberFormat="1" applyFont="1" applyAlignment="1">
      <alignment readingOrder="2"/>
    </xf>
    <xf numFmtId="0" fontId="12" fillId="0" borderId="0" xfId="0" applyFont="1" applyAlignment="1">
      <alignment horizontal="center" vertical="center" shrinkToFit="1" readingOrder="2"/>
    </xf>
    <xf numFmtId="171" fontId="78" fillId="0" borderId="4" xfId="0" applyNumberFormat="1" applyFont="1" applyBorder="1" applyAlignment="1">
      <alignment horizontal="center" vertical="center" shrinkToFit="1" readingOrder="2"/>
    </xf>
    <xf numFmtId="37" fontId="85" fillId="3" borderId="2" xfId="0" applyNumberFormat="1" applyFont="1" applyFill="1" applyBorder="1" applyAlignment="1">
      <alignment horizontal="center" shrinkToFit="1" readingOrder="2"/>
    </xf>
    <xf numFmtId="37" fontId="9" fillId="0" borderId="0" xfId="0" applyNumberFormat="1" applyFont="1" applyAlignment="1">
      <alignment horizontal="center" shrinkToFit="1" readingOrder="2"/>
    </xf>
    <xf numFmtId="37" fontId="9" fillId="0" borderId="0" xfId="0" applyNumberFormat="1" applyFont="1" applyAlignment="1">
      <alignment horizontal="center" readingOrder="2"/>
    </xf>
    <xf numFmtId="37" fontId="9" fillId="0" borderId="0" xfId="0" applyNumberFormat="1" applyFont="1" applyAlignment="1">
      <alignment readingOrder="2"/>
    </xf>
    <xf numFmtId="170" fontId="9" fillId="0" borderId="0" xfId="0" applyNumberFormat="1" applyFont="1" applyBorder="1" applyAlignment="1">
      <alignment horizontal="center" vertical="center" readingOrder="2"/>
    </xf>
    <xf numFmtId="169" fontId="9" fillId="0" borderId="0" xfId="0" applyNumberFormat="1" applyFont="1" applyBorder="1" applyAlignment="1">
      <alignment horizontal="center" vertical="center" readingOrder="2"/>
    </xf>
    <xf numFmtId="3" fontId="103" fillId="0" borderId="0" xfId="14" applyNumberFormat="1" applyFont="1" applyAlignment="1">
      <alignment horizontal="center" vertical="center" shrinkToFit="1"/>
    </xf>
    <xf numFmtId="37" fontId="69" fillId="0" borderId="5" xfId="3" applyNumberFormat="1" applyFont="1" applyBorder="1" applyAlignment="1">
      <alignment horizontal="center" vertical="center"/>
    </xf>
    <xf numFmtId="0" fontId="69" fillId="0" borderId="5" xfId="3" applyFont="1" applyBorder="1" applyAlignment="1">
      <alignment horizontal="center" vertical="center"/>
    </xf>
    <xf numFmtId="0" fontId="69" fillId="0" borderId="5" xfId="3" applyFont="1" applyBorder="1" applyAlignment="1">
      <alignment horizontal="left" vertical="center" indent="3"/>
    </xf>
    <xf numFmtId="0" fontId="52" fillId="5" borderId="13" xfId="3" applyFont="1" applyFill="1" applyBorder="1" applyAlignment="1">
      <alignment horizontal="center" vertical="center"/>
    </xf>
    <xf numFmtId="0" fontId="52" fillId="5" borderId="16" xfId="3" applyFont="1" applyFill="1" applyBorder="1" applyAlignment="1">
      <alignment horizontal="center" vertical="center"/>
    </xf>
    <xf numFmtId="0" fontId="52" fillId="5" borderId="14" xfId="3" applyFont="1" applyFill="1" applyBorder="1" applyAlignment="1">
      <alignment horizontal="center" vertical="center"/>
    </xf>
    <xf numFmtId="0" fontId="52" fillId="5" borderId="17" xfId="3" applyFont="1" applyFill="1" applyBorder="1" applyAlignment="1">
      <alignment horizontal="center" vertical="center"/>
    </xf>
    <xf numFmtId="0" fontId="52" fillId="5" borderId="15" xfId="3" applyFont="1" applyFill="1" applyBorder="1" applyAlignment="1">
      <alignment horizontal="center" vertical="center"/>
    </xf>
    <xf numFmtId="0" fontId="18" fillId="5" borderId="21" xfId="3" applyFont="1" applyFill="1" applyBorder="1" applyAlignment="1">
      <alignment horizontal="center" vertical="center"/>
    </xf>
    <xf numFmtId="0" fontId="18" fillId="5" borderId="30" xfId="3" applyFont="1" applyFill="1" applyBorder="1" applyAlignment="1">
      <alignment horizontal="center" vertical="center" textRotation="90"/>
    </xf>
    <xf numFmtId="0" fontId="18" fillId="5" borderId="31" xfId="3" applyFont="1" applyFill="1" applyBorder="1" applyAlignment="1">
      <alignment horizontal="center" vertical="center" textRotation="90"/>
    </xf>
    <xf numFmtId="0" fontId="18" fillId="5" borderId="34" xfId="3" applyFont="1" applyFill="1" applyBorder="1" applyAlignment="1">
      <alignment horizontal="center" vertical="center" textRotation="90"/>
    </xf>
    <xf numFmtId="0" fontId="18" fillId="5" borderId="19" xfId="3" applyFont="1" applyFill="1" applyBorder="1" applyAlignment="1">
      <alignment horizontal="center" vertical="center" textRotation="90"/>
    </xf>
    <xf numFmtId="0" fontId="18" fillId="5" borderId="23" xfId="3" applyFont="1" applyFill="1" applyBorder="1" applyAlignment="1">
      <alignment horizontal="center" vertical="center" textRotation="90"/>
    </xf>
    <xf numFmtId="0" fontId="0" fillId="0" borderId="10" xfId="0" applyBorder="1"/>
    <xf numFmtId="0" fontId="0" fillId="0" borderId="0" xfId="0"/>
    <xf numFmtId="37" fontId="52" fillId="0" borderId="0" xfId="0" applyNumberFormat="1" applyFont="1" applyAlignment="1">
      <alignment horizontal="center" readingOrder="2"/>
    </xf>
    <xf numFmtId="0" fontId="52" fillId="0" borderId="0" xfId="0" applyFont="1" applyAlignment="1">
      <alignment horizontal="center" readingOrder="2"/>
    </xf>
    <xf numFmtId="37" fontId="52" fillId="0" borderId="0" xfId="0" applyNumberFormat="1" applyFont="1" applyAlignment="1">
      <alignment horizontal="center" shrinkToFit="1" readingOrder="2"/>
    </xf>
    <xf numFmtId="0" fontId="36" fillId="0" borderId="0" xfId="0" applyFont="1" applyAlignment="1">
      <alignment horizontal="right" wrapText="1" readingOrder="2"/>
    </xf>
    <xf numFmtId="0" fontId="3" fillId="0" borderId="1" xfId="0" applyFont="1" applyBorder="1" applyAlignment="1">
      <alignment horizontal="center" readingOrder="2"/>
    </xf>
    <xf numFmtId="0" fontId="58" fillId="0" borderId="0" xfId="0" applyFont="1" applyAlignment="1">
      <alignment horizontal="right" vertical="center" readingOrder="2"/>
    </xf>
    <xf numFmtId="0" fontId="38" fillId="0" borderId="0" xfId="0" applyFont="1" applyAlignment="1">
      <alignment horizontal="right" vertical="center" readingOrder="2"/>
    </xf>
    <xf numFmtId="0" fontId="47" fillId="0" borderId="0" xfId="0" applyFont="1" applyAlignment="1">
      <alignment horizontal="center"/>
    </xf>
    <xf numFmtId="0" fontId="39" fillId="0" borderId="0" xfId="0" applyFont="1" applyAlignment="1">
      <alignment horizontal="right" vertical="center" readingOrder="2"/>
    </xf>
    <xf numFmtId="0" fontId="37" fillId="0" borderId="0" xfId="0" applyFont="1" applyAlignment="1">
      <alignment horizontal="right" vertical="center" readingOrder="2"/>
    </xf>
    <xf numFmtId="0" fontId="3" fillId="0" borderId="0" xfId="0" applyFont="1" applyAlignment="1">
      <alignment horizontal="right" vertical="center" readingOrder="2"/>
    </xf>
    <xf numFmtId="0" fontId="3" fillId="0" borderId="3" xfId="0" applyFont="1" applyBorder="1" applyAlignment="1">
      <alignment horizontal="right" vertical="center" readingOrder="2"/>
    </xf>
    <xf numFmtId="0" fontId="13" fillId="0" borderId="0" xfId="0" applyFont="1" applyAlignment="1">
      <alignment horizontal="center" vertical="center"/>
    </xf>
    <xf numFmtId="0" fontId="20" fillId="3" borderId="0" xfId="0" applyFont="1" applyFill="1" applyAlignment="1">
      <alignment horizontal="right" wrapText="1" readingOrder="2"/>
    </xf>
    <xf numFmtId="0" fontId="60" fillId="0" borderId="5" xfId="0" applyFont="1" applyBorder="1" applyAlignment="1">
      <alignment horizontal="center" vertical="center"/>
    </xf>
    <xf numFmtId="0" fontId="13" fillId="0" borderId="0" xfId="0" applyFont="1" applyAlignment="1">
      <alignment horizontal="right" vertical="center" readingOrder="2"/>
    </xf>
    <xf numFmtId="3" fontId="73" fillId="0" borderId="0" xfId="4" applyNumberFormat="1" applyFont="1" applyAlignment="1">
      <alignment horizontal="center" vertical="center"/>
    </xf>
    <xf numFmtId="3" fontId="64" fillId="0" borderId="0" xfId="4" applyNumberFormat="1" applyFont="1" applyAlignment="1">
      <alignment horizontal="center" vertical="center"/>
    </xf>
    <xf numFmtId="3" fontId="18" fillId="0" borderId="0" xfId="4" applyNumberFormat="1" applyFont="1" applyAlignment="1">
      <alignment horizontal="center" vertical="center"/>
    </xf>
    <xf numFmtId="3" fontId="18" fillId="0" borderId="0" xfId="4" applyNumberFormat="1" applyFont="1" applyAlignment="1">
      <alignment horizontal="center" vertical="center" shrinkToFit="1"/>
    </xf>
    <xf numFmtId="3" fontId="64" fillId="0" borderId="0" xfId="4" applyNumberFormat="1" applyFont="1" applyAlignment="1">
      <alignment horizontal="center" vertical="center" shrinkToFit="1"/>
    </xf>
    <xf numFmtId="3" fontId="53" fillId="0" borderId="0" xfId="4" applyNumberFormat="1" applyFont="1" applyAlignment="1">
      <alignment horizontal="center" vertical="center" shrinkToFit="1"/>
    </xf>
    <xf numFmtId="3" fontId="64" fillId="0" borderId="1" xfId="4" applyNumberFormat="1" applyFont="1" applyBorder="1" applyAlignment="1">
      <alignment horizontal="center" vertical="center" shrinkToFit="1"/>
    </xf>
    <xf numFmtId="0" fontId="18" fillId="0" borderId="0" xfId="4" applyFont="1" applyAlignment="1">
      <alignment horizontal="center" vertical="center"/>
    </xf>
    <xf numFmtId="37" fontId="53" fillId="0" borderId="0" xfId="4" applyNumberFormat="1" applyFont="1" applyAlignment="1">
      <alignment horizontal="center" vertical="center"/>
    </xf>
    <xf numFmtId="0" fontId="53" fillId="0" borderId="0" xfId="4" applyFont="1" applyAlignment="1">
      <alignment horizontal="center" vertical="center"/>
    </xf>
    <xf numFmtId="0" fontId="64" fillId="0" borderId="0" xfId="4" applyFont="1" applyAlignment="1">
      <alignment horizontal="center" vertical="center"/>
    </xf>
    <xf numFmtId="14" fontId="64" fillId="0" borderId="1" xfId="4" applyNumberFormat="1" applyFont="1" applyBorder="1" applyAlignment="1">
      <alignment horizontal="center" vertical="center"/>
    </xf>
    <xf numFmtId="0" fontId="41" fillId="0" borderId="0" xfId="4" applyFont="1" applyAlignment="1">
      <alignment horizontal="center" vertical="center"/>
    </xf>
    <xf numFmtId="0" fontId="52" fillId="0" borderId="1" xfId="4" applyFont="1" applyBorder="1" applyAlignment="1">
      <alignment horizontal="center" vertical="center"/>
    </xf>
    <xf numFmtId="0" fontId="54" fillId="0" borderId="0" xfId="4" applyFont="1" applyAlignment="1">
      <alignment horizontal="center" vertical="center" wrapText="1"/>
    </xf>
    <xf numFmtId="0" fontId="54" fillId="0" borderId="1" xfId="4" applyFont="1" applyBorder="1" applyAlignment="1">
      <alignment horizontal="center" vertical="center" wrapText="1"/>
    </xf>
    <xf numFmtId="0" fontId="4" fillId="0" borderId="0" xfId="0" applyFont="1" applyAlignment="1">
      <alignment horizontal="right" readingOrder="2"/>
    </xf>
    <xf numFmtId="0" fontId="3" fillId="0" borderId="0" xfId="0" applyFont="1" applyAlignment="1">
      <alignment horizontal="right" readingOrder="2"/>
    </xf>
    <xf numFmtId="0" fontId="5" fillId="0" borderId="0" xfId="0" applyFont="1" applyAlignment="1">
      <alignment horizontal="right" vertical="center" shrinkToFit="1" readingOrder="2"/>
    </xf>
    <xf numFmtId="0" fontId="5" fillId="0" borderId="0" xfId="0" applyFont="1" applyAlignment="1">
      <alignment horizontal="right" vertical="center" wrapText="1" shrinkToFit="1" readingOrder="2"/>
    </xf>
    <xf numFmtId="0" fontId="5" fillId="3" borderId="0" xfId="0" applyFont="1" applyFill="1" applyAlignment="1">
      <alignment horizontal="right" vertical="center" wrapText="1" shrinkToFit="1" readingOrder="2"/>
    </xf>
    <xf numFmtId="37" fontId="13" fillId="0" borderId="0" xfId="0" applyNumberFormat="1" applyFont="1" applyAlignment="1">
      <alignment horizontal="center" readingOrder="2"/>
    </xf>
    <xf numFmtId="0" fontId="13" fillId="0" borderId="0" xfId="0" applyFont="1" applyAlignment="1">
      <alignment horizontal="center" readingOrder="2"/>
    </xf>
    <xf numFmtId="37" fontId="13" fillId="0" borderId="0" xfId="0" applyNumberFormat="1" applyFont="1" applyAlignment="1">
      <alignment horizontal="center" shrinkToFit="1" readingOrder="2"/>
    </xf>
    <xf numFmtId="0" fontId="31" fillId="0" borderId="0" xfId="0" applyFont="1" applyAlignment="1">
      <alignment horizontal="right" vertical="center" readingOrder="2"/>
    </xf>
    <xf numFmtId="0" fontId="46" fillId="0" borderId="3" xfId="0" applyFont="1" applyBorder="1" applyAlignment="1">
      <alignment horizontal="center" vertical="center" wrapText="1" readingOrder="2"/>
    </xf>
    <xf numFmtId="0" fontId="46" fillId="0" borderId="0" xfId="0" applyFont="1" applyAlignment="1">
      <alignment horizontal="center" vertical="center" wrapText="1" readingOrder="2"/>
    </xf>
    <xf numFmtId="0" fontId="31" fillId="0" borderId="0" xfId="0" applyFont="1" applyAlignment="1">
      <alignment horizontal="right" readingOrder="2"/>
    </xf>
    <xf numFmtId="0" fontId="9" fillId="0" borderId="0" xfId="0" applyFont="1" applyAlignment="1">
      <alignment horizontal="right" vertical="center" wrapText="1" readingOrder="2"/>
    </xf>
    <xf numFmtId="0" fontId="62" fillId="0" borderId="1" xfId="0" applyFont="1" applyBorder="1" applyAlignment="1">
      <alignment horizontal="center" vertical="center" wrapText="1" readingOrder="2"/>
    </xf>
    <xf numFmtId="0" fontId="6" fillId="0" borderId="0" xfId="0" applyFont="1" applyAlignment="1">
      <alignment horizontal="right" vertical="center" wrapText="1" readingOrder="2"/>
    </xf>
    <xf numFmtId="0" fontId="9" fillId="3" borderId="0" xfId="0" applyFont="1" applyFill="1" applyAlignment="1">
      <alignment horizontal="right" vertical="center" wrapText="1" readingOrder="2"/>
    </xf>
    <xf numFmtId="0" fontId="6" fillId="0" borderId="0" xfId="0" applyFont="1" applyAlignment="1">
      <alignment horizontal="right" vertical="top" wrapText="1" readingOrder="2"/>
    </xf>
    <xf numFmtId="0" fontId="31" fillId="0" borderId="0" xfId="0" applyFont="1" applyAlignment="1">
      <alignment horizontal="right" vertical="top" readingOrder="2"/>
    </xf>
    <xf numFmtId="0" fontId="31" fillId="0" borderId="0" xfId="0" applyFont="1" applyAlignment="1">
      <alignment horizontal="right" vertical="top" wrapText="1" readingOrder="2"/>
    </xf>
    <xf numFmtId="0" fontId="46" fillId="0" borderId="0" xfId="0" applyFont="1" applyAlignment="1">
      <alignment horizontal="right" vertical="top" wrapText="1" readingOrder="2"/>
    </xf>
    <xf numFmtId="0" fontId="46" fillId="0" borderId="0" xfId="0" applyFont="1" applyAlignment="1">
      <alignment horizontal="right" vertical="top" readingOrder="2"/>
    </xf>
    <xf numFmtId="0" fontId="9" fillId="0" borderId="0" xfId="0" applyFont="1" applyAlignment="1">
      <alignment horizontal="right" vertical="top" wrapText="1" readingOrder="2"/>
    </xf>
    <xf numFmtId="0" fontId="31" fillId="3" borderId="0" xfId="0" applyFont="1" applyFill="1" applyAlignment="1">
      <alignment horizontal="right" vertical="center" readingOrder="2"/>
    </xf>
    <xf numFmtId="0" fontId="9" fillId="0" borderId="0" xfId="0" applyFont="1" applyAlignment="1">
      <alignment horizontal="right" vertical="center" readingOrder="2"/>
    </xf>
    <xf numFmtId="0" fontId="6" fillId="0" borderId="0" xfId="0" applyFont="1" applyAlignment="1">
      <alignment horizontal="right" vertical="center" readingOrder="2"/>
    </xf>
    <xf numFmtId="37" fontId="95" fillId="0" borderId="0" xfId="0" applyNumberFormat="1" applyFont="1" applyAlignment="1">
      <alignment horizontal="right" vertical="center" wrapText="1" shrinkToFit="1" readingOrder="2"/>
    </xf>
    <xf numFmtId="37" fontId="95" fillId="0" borderId="0" xfId="0" applyNumberFormat="1" applyFont="1" applyAlignment="1">
      <alignment horizontal="right" vertical="center" shrinkToFit="1" readingOrder="2"/>
    </xf>
    <xf numFmtId="0" fontId="95" fillId="0" borderId="1" xfId="0" applyFont="1" applyBorder="1" applyAlignment="1">
      <alignment horizontal="center" vertical="center" readingOrder="2"/>
    </xf>
    <xf numFmtId="0" fontId="78" fillId="0" borderId="1" xfId="0" applyFont="1" applyBorder="1" applyAlignment="1">
      <alignment horizontal="center" vertical="center" readingOrder="2"/>
    </xf>
    <xf numFmtId="37" fontId="85" fillId="0" borderId="0" xfId="0" applyNumberFormat="1" applyFont="1" applyAlignment="1">
      <alignment horizontal="center" readingOrder="2"/>
    </xf>
    <xf numFmtId="0" fontId="85" fillId="0" borderId="0" xfId="0" applyFont="1" applyAlignment="1">
      <alignment horizontal="center" readingOrder="2"/>
    </xf>
    <xf numFmtId="37" fontId="85" fillId="0" borderId="0" xfId="0" applyNumberFormat="1" applyFont="1" applyAlignment="1">
      <alignment horizontal="center" shrinkToFit="1" readingOrder="2"/>
    </xf>
    <xf numFmtId="0" fontId="85" fillId="0" borderId="0" xfId="0" applyFont="1" applyAlignment="1">
      <alignment horizontal="right" shrinkToFit="1" readingOrder="2"/>
    </xf>
    <xf numFmtId="37" fontId="78" fillId="0" borderId="0" xfId="0" applyNumberFormat="1" applyFont="1" applyAlignment="1">
      <alignment horizontal="right" vertical="center" shrinkToFit="1" readingOrder="2"/>
    </xf>
    <xf numFmtId="0" fontId="9" fillId="0" borderId="0" xfId="0" applyFont="1" applyAlignment="1">
      <alignment horizontal="right" shrinkToFit="1" readingOrder="2"/>
    </xf>
    <xf numFmtId="0" fontId="9" fillId="0" borderId="1" xfId="0" applyFont="1" applyBorder="1" applyAlignment="1">
      <alignment horizontal="center" vertical="center" readingOrder="2"/>
    </xf>
    <xf numFmtId="0" fontId="18" fillId="0" borderId="0" xfId="0" applyFont="1" applyAlignment="1">
      <alignment horizontal="right" shrinkToFit="1" readingOrder="2"/>
    </xf>
    <xf numFmtId="37" fontId="12" fillId="0" borderId="0" xfId="0" applyNumberFormat="1" applyFont="1" applyAlignment="1">
      <alignment horizontal="right" vertical="center" shrinkToFit="1" readingOrder="2"/>
    </xf>
    <xf numFmtId="49" fontId="9" fillId="0" borderId="1" xfId="0" applyNumberFormat="1" applyFont="1" applyBorder="1" applyAlignment="1">
      <alignment horizontal="center" vertical="center" readingOrder="2"/>
    </xf>
    <xf numFmtId="0" fontId="24" fillId="0" borderId="0" xfId="0" applyFont="1" applyAlignment="1">
      <alignment horizontal="right" vertical="center" shrinkToFit="1" readingOrder="2"/>
    </xf>
    <xf numFmtId="37" fontId="12" fillId="3" borderId="0" xfId="0" applyNumberFormat="1" applyFont="1" applyFill="1" applyAlignment="1">
      <alignment horizontal="right" vertical="center" wrapText="1" shrinkToFit="1" readingOrder="2"/>
    </xf>
    <xf numFmtId="37" fontId="12" fillId="0" borderId="0" xfId="0" applyNumberFormat="1" applyFont="1" applyAlignment="1">
      <alignment horizontal="center" readingOrder="2"/>
    </xf>
    <xf numFmtId="37" fontId="35" fillId="3" borderId="0" xfId="0" applyNumberFormat="1" applyFont="1" applyFill="1" applyAlignment="1">
      <alignment horizontal="right" readingOrder="2"/>
    </xf>
    <xf numFmtId="37" fontId="9" fillId="0" borderId="1" xfId="0" applyNumberFormat="1" applyFont="1" applyBorder="1" applyAlignment="1">
      <alignment horizontal="center" vertical="center" readingOrder="2"/>
    </xf>
    <xf numFmtId="37" fontId="50" fillId="0" borderId="3" xfId="0" applyNumberFormat="1" applyFont="1" applyBorder="1" applyAlignment="1">
      <alignment horizontal="center" vertical="center" shrinkToFit="1" readingOrder="2"/>
    </xf>
    <xf numFmtId="169" fontId="12" fillId="0" borderId="0" xfId="0" applyNumberFormat="1" applyFont="1" applyAlignment="1">
      <alignment horizontal="center" shrinkToFit="1" readingOrder="2"/>
    </xf>
    <xf numFmtId="37" fontId="9" fillId="0" borderId="0" xfId="0" applyNumberFormat="1" applyFont="1" applyAlignment="1">
      <alignment horizontal="right" vertical="center" wrapText="1" shrinkToFit="1" readingOrder="2"/>
    </xf>
    <xf numFmtId="37" fontId="18" fillId="0" borderId="0" xfId="0" applyNumberFormat="1" applyFont="1" applyAlignment="1">
      <alignment horizontal="center" readingOrder="2"/>
    </xf>
    <xf numFmtId="0" fontId="18" fillId="0" borderId="0" xfId="0" applyFont="1" applyAlignment="1">
      <alignment horizontal="center" readingOrder="2"/>
    </xf>
    <xf numFmtId="37" fontId="18" fillId="0" borderId="0" xfId="0" applyNumberFormat="1" applyFont="1" applyAlignment="1">
      <alignment horizontal="center" shrinkToFit="1" readingOrder="2"/>
    </xf>
    <xf numFmtId="37" fontId="18" fillId="0" borderId="0" xfId="0" applyNumberFormat="1" applyFont="1" applyAlignment="1">
      <alignment horizontal="right" vertical="center" shrinkToFit="1" readingOrder="2"/>
    </xf>
    <xf numFmtId="37" fontId="20" fillId="0" borderId="0" xfId="0" applyNumberFormat="1" applyFont="1" applyAlignment="1">
      <alignment horizontal="right" vertical="center" wrapText="1" shrinkToFit="1" readingOrder="2"/>
    </xf>
    <xf numFmtId="0" fontId="9" fillId="0" borderId="0" xfId="0" applyFont="1" applyAlignment="1">
      <alignment vertical="center" wrapText="1" readingOrder="2"/>
    </xf>
    <xf numFmtId="37" fontId="9" fillId="0" borderId="0" xfId="0" applyNumberFormat="1" applyFont="1" applyAlignment="1">
      <alignment horizontal="right" shrinkToFit="1" readingOrder="2"/>
    </xf>
    <xf numFmtId="0" fontId="9" fillId="0" borderId="0" xfId="0" applyFont="1" applyAlignment="1">
      <alignment horizontal="center" vertical="center" wrapText="1" readingOrder="2"/>
    </xf>
    <xf numFmtId="0" fontId="9" fillId="0" borderId="1" xfId="0" applyFont="1" applyBorder="1" applyAlignment="1">
      <alignment horizontal="center" vertical="center" shrinkToFit="1" readingOrder="2"/>
    </xf>
    <xf numFmtId="37" fontId="9" fillId="0" borderId="0" xfId="0" applyNumberFormat="1" applyFont="1" applyAlignment="1">
      <alignment horizontal="right" vertical="center" shrinkToFit="1" readingOrder="2"/>
    </xf>
    <xf numFmtId="0" fontId="9" fillId="0" borderId="1" xfId="0" applyFont="1" applyBorder="1" applyAlignment="1">
      <alignment horizontal="center" shrinkToFit="1" readingOrder="2"/>
    </xf>
    <xf numFmtId="0" fontId="9" fillId="0" borderId="0" xfId="0" applyFont="1" applyAlignment="1">
      <alignment vertical="center" shrinkToFit="1" readingOrder="2"/>
    </xf>
    <xf numFmtId="37" fontId="12" fillId="0" borderId="0" xfId="0" applyNumberFormat="1" applyFont="1" applyAlignment="1">
      <alignment horizontal="right" wrapText="1" shrinkToFit="1" readingOrder="2"/>
    </xf>
    <xf numFmtId="37" fontId="9" fillId="0" borderId="0" xfId="0" applyNumberFormat="1" applyFont="1" applyAlignment="1">
      <alignment horizontal="center" shrinkToFit="1" readingOrder="2"/>
    </xf>
    <xf numFmtId="37" fontId="20" fillId="0" borderId="4" xfId="0" applyNumberFormat="1" applyFont="1" applyBorder="1" applyAlignment="1">
      <alignment horizontal="center" vertical="center" wrapText="1" readingOrder="2"/>
    </xf>
    <xf numFmtId="37" fontId="20" fillId="0" borderId="3" xfId="0" applyNumberFormat="1" applyFont="1" applyBorder="1" applyAlignment="1">
      <alignment horizontal="center" vertical="center" wrapText="1" readingOrder="2"/>
    </xf>
    <xf numFmtId="37" fontId="20" fillId="0" borderId="1" xfId="0" applyNumberFormat="1" applyFont="1" applyBorder="1" applyAlignment="1">
      <alignment horizontal="center" vertical="center" wrapText="1" readingOrder="2"/>
    </xf>
    <xf numFmtId="37" fontId="20" fillId="0" borderId="1" xfId="0" applyNumberFormat="1" applyFont="1" applyBorder="1" applyAlignment="1">
      <alignment horizontal="center" vertical="center" wrapText="1" shrinkToFit="1" readingOrder="2"/>
    </xf>
    <xf numFmtId="0" fontId="56" fillId="0" borderId="0" xfId="0" applyFont="1" applyAlignment="1">
      <alignment horizontal="right" shrinkToFit="1" readingOrder="2"/>
    </xf>
    <xf numFmtId="37" fontId="56" fillId="0" borderId="1" xfId="0" applyNumberFormat="1" applyFont="1" applyBorder="1" applyAlignment="1">
      <alignment horizontal="center" shrinkToFit="1" readingOrder="2"/>
    </xf>
    <xf numFmtId="37" fontId="56" fillId="0" borderId="0" xfId="0" applyNumberFormat="1" applyFont="1" applyAlignment="1">
      <alignment horizontal="center" readingOrder="2"/>
    </xf>
    <xf numFmtId="49" fontId="20" fillId="0" borderId="3" xfId="0" applyNumberFormat="1" applyFont="1" applyBorder="1" applyAlignment="1">
      <alignment horizontal="center" vertical="center" wrapText="1" readingOrder="2"/>
    </xf>
    <xf numFmtId="49" fontId="20" fillId="0" borderId="1" xfId="0" applyNumberFormat="1" applyFont="1" applyBorder="1" applyAlignment="1">
      <alignment horizontal="center" vertical="center" wrapText="1" readingOrder="2"/>
    </xf>
    <xf numFmtId="37" fontId="20" fillId="0" borderId="0" xfId="0" applyNumberFormat="1" applyFont="1" applyAlignment="1">
      <alignment horizontal="right" wrapText="1" shrinkToFit="1" readingOrder="2"/>
    </xf>
    <xf numFmtId="37" fontId="20" fillId="2" borderId="11" xfId="0" applyNumberFormat="1" applyFont="1" applyFill="1" applyBorder="1" applyAlignment="1">
      <alignment horizontal="center" vertical="center" wrapText="1" readingOrder="2"/>
    </xf>
    <xf numFmtId="37" fontId="20" fillId="2" borderId="3" xfId="0" applyNumberFormat="1" applyFont="1" applyFill="1" applyBorder="1" applyAlignment="1">
      <alignment horizontal="center" vertical="center" wrapText="1" readingOrder="2"/>
    </xf>
    <xf numFmtId="37" fontId="20" fillId="2" borderId="12" xfId="0" applyNumberFormat="1" applyFont="1" applyFill="1" applyBorder="1" applyAlignment="1">
      <alignment horizontal="center" vertical="center" wrapText="1" readingOrder="2"/>
    </xf>
    <xf numFmtId="37" fontId="20" fillId="2" borderId="6" xfId="0" applyNumberFormat="1" applyFont="1" applyFill="1" applyBorder="1" applyAlignment="1">
      <alignment horizontal="center" vertical="center" wrapText="1" readingOrder="2"/>
    </xf>
    <xf numFmtId="37" fontId="20" fillId="2" borderId="1" xfId="0" applyNumberFormat="1" applyFont="1" applyFill="1" applyBorder="1" applyAlignment="1">
      <alignment horizontal="center" vertical="center" wrapText="1" readingOrder="2"/>
    </xf>
    <xf numFmtId="37" fontId="20" fillId="2" borderId="7" xfId="0" applyNumberFormat="1" applyFont="1" applyFill="1" applyBorder="1" applyAlignment="1">
      <alignment horizontal="center" vertical="center" wrapText="1" readingOrder="2"/>
    </xf>
    <xf numFmtId="37" fontId="9" fillId="0" borderId="1" xfId="0" applyNumberFormat="1" applyFont="1" applyBorder="1" applyAlignment="1">
      <alignment horizontal="center" shrinkToFit="1" readingOrder="2"/>
    </xf>
    <xf numFmtId="37" fontId="18" fillId="0" borderId="0" xfId="0" applyNumberFormat="1" applyFont="1" applyAlignment="1">
      <alignment horizontal="center" vertical="center" readingOrder="2"/>
    </xf>
    <xf numFmtId="37" fontId="18" fillId="0" borderId="0" xfId="0" applyNumberFormat="1" applyFont="1" applyAlignment="1">
      <alignment horizontal="center" vertical="center" shrinkToFit="1" readingOrder="2"/>
    </xf>
    <xf numFmtId="37" fontId="9" fillId="0" borderId="0" xfId="0" applyNumberFormat="1" applyFont="1" applyAlignment="1">
      <alignment horizontal="center" vertical="center" readingOrder="2"/>
    </xf>
    <xf numFmtId="37" fontId="9" fillId="0" borderId="0" xfId="0" applyNumberFormat="1" applyFont="1" applyAlignment="1">
      <alignment horizontal="center" readingOrder="2"/>
    </xf>
    <xf numFmtId="37" fontId="9" fillId="0" borderId="0" xfId="0" applyNumberFormat="1" applyFont="1" applyAlignment="1">
      <alignment horizontal="center" vertical="center" wrapText="1" shrinkToFit="1" readingOrder="2"/>
    </xf>
    <xf numFmtId="37" fontId="9" fillId="0" borderId="1" xfId="0" applyNumberFormat="1" applyFont="1" applyBorder="1" applyAlignment="1">
      <alignment horizontal="center" vertical="center" wrapText="1" shrinkToFit="1" readingOrder="2"/>
    </xf>
    <xf numFmtId="37" fontId="9" fillId="0" borderId="3" xfId="0" applyNumberFormat="1" applyFont="1" applyBorder="1" applyAlignment="1">
      <alignment horizontal="center" vertical="center" wrapText="1" readingOrder="2"/>
    </xf>
    <xf numFmtId="37" fontId="9" fillId="0" borderId="1" xfId="0" applyNumberFormat="1" applyFont="1" applyBorder="1" applyAlignment="1">
      <alignment horizontal="center" vertical="center" wrapText="1" readingOrder="2"/>
    </xf>
    <xf numFmtId="37" fontId="9" fillId="0" borderId="4" xfId="0" applyNumberFormat="1" applyFont="1" applyBorder="1" applyAlignment="1">
      <alignment horizontal="center" vertical="center" wrapText="1" readingOrder="2"/>
    </xf>
    <xf numFmtId="3" fontId="9" fillId="0" borderId="3" xfId="0" applyNumberFormat="1" applyFont="1" applyBorder="1" applyAlignment="1">
      <alignment horizontal="center" vertical="center" wrapText="1" readingOrder="2"/>
    </xf>
    <xf numFmtId="3" fontId="9" fillId="0" borderId="1" xfId="0" applyNumberFormat="1" applyFont="1" applyBorder="1" applyAlignment="1">
      <alignment horizontal="center" vertical="center" wrapText="1" readingOrder="2"/>
    </xf>
    <xf numFmtId="49" fontId="9" fillId="0" borderId="3" xfId="0" applyNumberFormat="1" applyFont="1" applyBorder="1" applyAlignment="1">
      <alignment horizontal="center" vertical="center" wrapText="1" readingOrder="2"/>
    </xf>
    <xf numFmtId="49" fontId="9" fillId="0" borderId="1" xfId="0" applyNumberFormat="1" applyFont="1" applyBorder="1" applyAlignment="1">
      <alignment horizontal="center" vertical="center" wrapText="1" readingOrder="2"/>
    </xf>
    <xf numFmtId="37" fontId="9" fillId="9" borderId="0" xfId="0" applyNumberFormat="1" applyFont="1" applyFill="1" applyAlignment="1">
      <alignment horizontal="right" shrinkToFit="1" readingOrder="2"/>
    </xf>
    <xf numFmtId="37" fontId="12" fillId="0" borderId="0" xfId="0" applyNumberFormat="1" applyFont="1" applyAlignment="1">
      <alignment horizontal="right" vertical="center" wrapText="1" shrinkToFit="1" readingOrder="2"/>
    </xf>
    <xf numFmtId="37" fontId="9" fillId="0" borderId="0" xfId="0" applyNumberFormat="1" applyFont="1" applyAlignment="1">
      <alignment horizontal="right" vertical="center" wrapText="1" readingOrder="2"/>
    </xf>
    <xf numFmtId="49" fontId="12" fillId="0" borderId="3" xfId="0" applyNumberFormat="1" applyFont="1" applyBorder="1" applyAlignment="1">
      <alignment horizontal="center" vertical="center" wrapText="1" readingOrder="2"/>
    </xf>
    <xf numFmtId="49" fontId="12" fillId="0" borderId="1" xfId="0" applyNumberFormat="1" applyFont="1" applyBorder="1" applyAlignment="1">
      <alignment horizontal="center" vertical="center" wrapText="1" readingOrder="2"/>
    </xf>
    <xf numFmtId="172" fontId="9" fillId="2" borderId="0" xfId="0" applyNumberFormat="1" applyFont="1" applyFill="1" applyAlignment="1">
      <alignment horizontal="center" vertical="center" wrapText="1" readingOrder="2"/>
    </xf>
    <xf numFmtId="0" fontId="20" fillId="9" borderId="0" xfId="0" applyFont="1" applyFill="1" applyAlignment="1">
      <alignment horizontal="right" vertical="center" wrapText="1" shrinkToFit="1" readingOrder="2"/>
    </xf>
    <xf numFmtId="37" fontId="9" fillId="0" borderId="0" xfId="0" applyNumberFormat="1" applyFont="1" applyAlignment="1">
      <alignment horizontal="right" wrapText="1" shrinkToFit="1" readingOrder="2"/>
    </xf>
    <xf numFmtId="3" fontId="98" fillId="0" borderId="4" xfId="9" applyNumberFormat="1" applyFont="1" applyBorder="1" applyAlignment="1">
      <alignment horizontal="center" vertical="center" wrapText="1" readingOrder="2"/>
    </xf>
    <xf numFmtId="3" fontId="98" fillId="0" borderId="36" xfId="9" applyNumberFormat="1" applyFont="1" applyBorder="1" applyAlignment="1">
      <alignment horizontal="center" vertical="center" wrapText="1" readingOrder="2"/>
    </xf>
    <xf numFmtId="0" fontId="98" fillId="0" borderId="4" xfId="9" applyFont="1" applyBorder="1" applyAlignment="1">
      <alignment horizontal="center" vertical="center" wrapText="1" readingOrder="2"/>
    </xf>
    <xf numFmtId="0" fontId="98" fillId="0" borderId="36" xfId="9" applyFont="1" applyBorder="1" applyAlignment="1">
      <alignment horizontal="center" vertical="center" wrapText="1" readingOrder="2"/>
    </xf>
    <xf numFmtId="0" fontId="93" fillId="0" borderId="11" xfId="9" applyFont="1" applyBorder="1" applyAlignment="1">
      <alignment horizontal="center" vertical="center" wrapText="1" readingOrder="2"/>
    </xf>
    <xf numFmtId="0" fontId="93" fillId="0" borderId="12" xfId="9" applyFont="1" applyBorder="1" applyAlignment="1">
      <alignment horizontal="center" vertical="center" wrapText="1" readingOrder="2"/>
    </xf>
    <xf numFmtId="0" fontId="93" fillId="0" borderId="6" xfId="9" applyFont="1" applyBorder="1" applyAlignment="1">
      <alignment horizontal="center" vertical="center" wrapText="1" readingOrder="2"/>
    </xf>
    <xf numFmtId="0" fontId="93" fillId="0" borderId="7" xfId="9" applyFont="1" applyBorder="1" applyAlignment="1">
      <alignment horizontal="center" vertical="center" wrapText="1" readingOrder="2"/>
    </xf>
    <xf numFmtId="0" fontId="94" fillId="0" borderId="0" xfId="0" applyFont="1" applyAlignment="1">
      <alignment horizontal="center" vertical="center" wrapText="1" readingOrder="2"/>
    </xf>
    <xf numFmtId="0" fontId="93" fillId="0" borderId="35" xfId="9" applyFont="1" applyBorder="1" applyAlignment="1">
      <alignment horizontal="center" vertical="center" wrapText="1" readingOrder="2"/>
    </xf>
    <xf numFmtId="0" fontId="93" fillId="0" borderId="36" xfId="9" applyFont="1" applyBorder="1" applyAlignment="1">
      <alignment horizontal="center" vertical="center" wrapText="1" readingOrder="2"/>
    </xf>
    <xf numFmtId="0" fontId="93" fillId="0" borderId="25" xfId="9" applyFont="1" applyBorder="1" applyAlignment="1">
      <alignment horizontal="center" vertical="center" wrapText="1" readingOrder="2"/>
    </xf>
    <xf numFmtId="0" fontId="93" fillId="0" borderId="20" xfId="9" applyFont="1" applyBorder="1" applyAlignment="1">
      <alignment horizontal="center" vertical="center" wrapText="1" readingOrder="2"/>
    </xf>
    <xf numFmtId="0" fontId="92" fillId="0" borderId="1" xfId="0" applyFont="1" applyBorder="1" applyAlignment="1">
      <alignment horizontal="right" vertical="center" wrapText="1" readingOrder="2"/>
    </xf>
    <xf numFmtId="0" fontId="98" fillId="0" borderId="0" xfId="0" applyFont="1" applyAlignment="1">
      <alignment horizontal="right" readingOrder="1"/>
    </xf>
    <xf numFmtId="0" fontId="98" fillId="0" borderId="1" xfId="0" applyFont="1" applyBorder="1" applyAlignment="1">
      <alignment horizontal="center"/>
    </xf>
    <xf numFmtId="0" fontId="9" fillId="0" borderId="0" xfId="0" applyFont="1" applyAlignment="1">
      <alignment horizontal="right" vertical="center" shrinkToFit="1" readingOrder="2"/>
    </xf>
    <xf numFmtId="0" fontId="9" fillId="0" borderId="1" xfId="0" applyFont="1" applyBorder="1" applyAlignment="1">
      <alignment horizontal="center" readingOrder="2"/>
    </xf>
    <xf numFmtId="37" fontId="12" fillId="0" borderId="0" xfId="0" applyNumberFormat="1" applyFont="1" applyAlignment="1">
      <alignment horizontal="right" shrinkToFit="1" readingOrder="2"/>
    </xf>
    <xf numFmtId="37" fontId="12" fillId="3" borderId="0" xfId="0" applyNumberFormat="1" applyFont="1" applyFill="1" applyAlignment="1">
      <alignment horizontal="right" shrinkToFit="1" readingOrder="2"/>
    </xf>
    <xf numFmtId="0" fontId="13" fillId="0" borderId="0" xfId="0" applyFont="1" applyAlignment="1">
      <alignment horizontal="right" shrinkToFit="1" readingOrder="2"/>
    </xf>
    <xf numFmtId="37" fontId="41" fillId="0" borderId="0" xfId="0" applyNumberFormat="1" applyFont="1" applyAlignment="1">
      <alignment horizontal="center" shrinkToFit="1" readingOrder="2"/>
    </xf>
    <xf numFmtId="0" fontId="9" fillId="0" borderId="0" xfId="0" applyFont="1" applyAlignment="1">
      <alignment horizontal="center" readingOrder="2"/>
    </xf>
    <xf numFmtId="37" fontId="13" fillId="0" borderId="0" xfId="0" applyNumberFormat="1" applyFont="1" applyAlignment="1">
      <alignment horizontal="right" shrinkToFit="1" readingOrder="2"/>
    </xf>
    <xf numFmtId="37" fontId="18" fillId="0" borderId="0" xfId="0" applyNumberFormat="1" applyFont="1" applyAlignment="1">
      <alignment horizontal="right" shrinkToFit="1" readingOrder="2"/>
    </xf>
    <xf numFmtId="37" fontId="9" fillId="0" borderId="0" xfId="0" applyNumberFormat="1" applyFont="1" applyAlignment="1">
      <alignment horizontal="center" vertical="center" shrinkToFit="1" readingOrder="2"/>
    </xf>
    <xf numFmtId="0" fontId="18" fillId="0" borderId="0" xfId="0" applyFont="1" applyAlignment="1">
      <alignment horizontal="center" vertical="center" shrinkToFit="1" readingOrder="2"/>
    </xf>
    <xf numFmtId="0" fontId="18" fillId="0" borderId="0" xfId="0" applyFont="1" applyAlignment="1">
      <alignment horizontal="center" shrinkToFit="1" readingOrder="2"/>
    </xf>
    <xf numFmtId="37" fontId="9" fillId="3" borderId="0" xfId="0" applyNumberFormat="1" applyFont="1" applyFill="1" applyAlignment="1">
      <alignment horizontal="right" shrinkToFit="1" readingOrder="2"/>
    </xf>
    <xf numFmtId="0" fontId="6" fillId="0" borderId="0" xfId="0" applyFont="1" applyAlignment="1">
      <alignment horizontal="center" vertical="center" readingOrder="2"/>
    </xf>
    <xf numFmtId="0" fontId="67" fillId="3" borderId="0" xfId="0" applyFont="1" applyFill="1" applyAlignment="1">
      <alignment horizontal="right" wrapText="1" shrinkToFit="1" readingOrder="2"/>
    </xf>
    <xf numFmtId="0" fontId="18" fillId="3" borderId="0" xfId="0" applyFont="1" applyFill="1" applyAlignment="1">
      <alignment horizontal="right" shrinkToFit="1" readingOrder="2"/>
    </xf>
    <xf numFmtId="0" fontId="13" fillId="0" borderId="0" xfId="0" applyFont="1" applyAlignment="1">
      <alignment horizontal="center" shrinkToFit="1" readingOrder="2"/>
    </xf>
    <xf numFmtId="37" fontId="85" fillId="0" borderId="1" xfId="0" applyNumberFormat="1" applyFont="1" applyBorder="1" applyAlignment="1">
      <alignment horizontal="center" vertical="center" readingOrder="2"/>
    </xf>
    <xf numFmtId="49" fontId="85" fillId="0" borderId="0" xfId="0" applyNumberFormat="1" applyFont="1" applyAlignment="1">
      <alignment horizontal="center" vertical="center" wrapText="1" readingOrder="2"/>
    </xf>
    <xf numFmtId="49" fontId="85" fillId="0" borderId="1" xfId="0" applyNumberFormat="1" applyFont="1" applyBorder="1" applyAlignment="1">
      <alignment horizontal="center" vertical="center" wrapText="1" readingOrder="2"/>
    </xf>
    <xf numFmtId="37" fontId="86" fillId="0" borderId="0" xfId="0" applyNumberFormat="1" applyFont="1" applyAlignment="1">
      <alignment horizontal="center" readingOrder="2"/>
    </xf>
    <xf numFmtId="37" fontId="86" fillId="0" borderId="0" xfId="0" applyNumberFormat="1" applyFont="1" applyAlignment="1">
      <alignment horizontal="center" shrinkToFit="1" readingOrder="2"/>
    </xf>
    <xf numFmtId="37" fontId="89" fillId="0" borderId="0" xfId="0" applyNumberFormat="1" applyFont="1" applyAlignment="1">
      <alignment horizontal="right" vertical="center" shrinkToFit="1" readingOrder="2"/>
    </xf>
    <xf numFmtId="37" fontId="78" fillId="0" borderId="0" xfId="0" applyNumberFormat="1" applyFont="1" applyAlignment="1">
      <alignment horizontal="right" vertical="top" wrapText="1" readingOrder="2"/>
    </xf>
    <xf numFmtId="49" fontId="56" fillId="0" borderId="0" xfId="0" applyNumberFormat="1" applyFont="1" applyAlignment="1">
      <alignment horizontal="center" vertical="center" wrapText="1" readingOrder="2"/>
    </xf>
    <xf numFmtId="49" fontId="56" fillId="0" borderId="1" xfId="0" applyNumberFormat="1" applyFont="1" applyBorder="1" applyAlignment="1">
      <alignment horizontal="center" vertical="center" wrapText="1" readingOrder="2"/>
    </xf>
    <xf numFmtId="0" fontId="13" fillId="0" borderId="0" xfId="0" applyFont="1" applyAlignment="1">
      <alignment horizontal="right" vertical="center" shrinkToFit="1" readingOrder="2"/>
    </xf>
    <xf numFmtId="37" fontId="9" fillId="0" borderId="1" xfId="0" applyNumberFormat="1" applyFont="1" applyBorder="1" applyAlignment="1">
      <alignment horizontal="center" vertical="center" shrinkToFit="1" readingOrder="2"/>
    </xf>
    <xf numFmtId="37" fontId="16" fillId="0" borderId="0" xfId="0" applyNumberFormat="1" applyFont="1" applyAlignment="1">
      <alignment horizontal="center" vertical="center" wrapText="1" readingOrder="2"/>
    </xf>
    <xf numFmtId="37" fontId="16" fillId="0" borderId="1" xfId="0" applyNumberFormat="1" applyFont="1" applyBorder="1" applyAlignment="1">
      <alignment horizontal="center" vertical="center" wrapText="1" readingOrder="2"/>
    </xf>
    <xf numFmtId="37" fontId="12" fillId="0" borderId="1" xfId="0" applyNumberFormat="1" applyFont="1" applyBorder="1" applyAlignment="1">
      <alignment horizontal="center" vertical="center" readingOrder="2"/>
    </xf>
    <xf numFmtId="37" fontId="16" fillId="0" borderId="3" xfId="0" applyNumberFormat="1" applyFont="1" applyBorder="1" applyAlignment="1">
      <alignment horizontal="center" shrinkToFit="1" readingOrder="2"/>
    </xf>
    <xf numFmtId="37" fontId="50" fillId="0" borderId="0" xfId="0" applyNumberFormat="1" applyFont="1" applyAlignment="1">
      <alignment horizontal="right" shrinkToFit="1" readingOrder="2"/>
    </xf>
    <xf numFmtId="37" fontId="16" fillId="0" borderId="1" xfId="0" applyNumberFormat="1" applyFont="1" applyBorder="1" applyAlignment="1">
      <alignment horizontal="center" vertical="center" wrapText="1" shrinkToFit="1" readingOrder="2"/>
    </xf>
    <xf numFmtId="37" fontId="16" fillId="0" borderId="0" xfId="0" applyNumberFormat="1" applyFont="1" applyAlignment="1">
      <alignment horizontal="center" vertical="center" shrinkToFit="1" readingOrder="2"/>
    </xf>
    <xf numFmtId="170" fontId="20" fillId="0" borderId="0" xfId="0" applyNumberFormat="1" applyFont="1" applyAlignment="1">
      <alignment horizontal="center" readingOrder="2"/>
    </xf>
    <xf numFmtId="170" fontId="20" fillId="0" borderId="2" xfId="0" applyNumberFormat="1" applyFont="1" applyBorder="1" applyAlignment="1">
      <alignment horizontal="center" readingOrder="2"/>
    </xf>
    <xf numFmtId="170" fontId="9" fillId="0" borderId="0" xfId="0" applyNumberFormat="1" applyFont="1" applyAlignment="1">
      <alignment horizontal="center" readingOrder="2"/>
    </xf>
    <xf numFmtId="170" fontId="20" fillId="0" borderId="1" xfId="0" applyNumberFormat="1" applyFont="1" applyBorder="1" applyAlignment="1">
      <alignment horizontal="center" readingOrder="2"/>
    </xf>
    <xf numFmtId="37" fontId="80" fillId="0" borderId="0" xfId="0" applyNumberFormat="1" applyFont="1" applyAlignment="1">
      <alignment horizontal="center" vertical="center" wrapText="1" readingOrder="2"/>
    </xf>
    <xf numFmtId="37" fontId="80" fillId="0" borderId="1" xfId="0" applyNumberFormat="1" applyFont="1" applyBorder="1" applyAlignment="1">
      <alignment horizontal="center" vertical="center" wrapText="1" readingOrder="2"/>
    </xf>
    <xf numFmtId="0" fontId="12" fillId="0" borderId="0" xfId="0" applyFont="1" applyAlignment="1">
      <alignment horizontal="right" vertical="center" shrinkToFit="1" readingOrder="2"/>
    </xf>
    <xf numFmtId="37" fontId="12" fillId="0" borderId="0" xfId="0" applyNumberFormat="1" applyFont="1" applyAlignment="1">
      <alignment horizontal="center" vertical="center" wrapText="1" shrinkToFit="1" readingOrder="2"/>
    </xf>
    <xf numFmtId="37" fontId="12" fillId="0" borderId="1" xfId="0" applyNumberFormat="1" applyFont="1" applyBorder="1" applyAlignment="1">
      <alignment horizontal="center" vertical="center" wrapText="1" shrinkToFit="1" readingOrder="2"/>
    </xf>
    <xf numFmtId="37" fontId="9" fillId="0" borderId="3" xfId="0" applyNumberFormat="1" applyFont="1" applyBorder="1" applyAlignment="1">
      <alignment horizontal="center" vertical="center" wrapText="1" shrinkToFit="1" readingOrder="2"/>
    </xf>
    <xf numFmtId="37" fontId="9" fillId="0" borderId="4" xfId="0" applyNumberFormat="1" applyFont="1" applyBorder="1" applyAlignment="1">
      <alignment horizontal="center" vertical="center" shrinkToFit="1" readingOrder="2"/>
    </xf>
    <xf numFmtId="1" fontId="9" fillId="0" borderId="3" xfId="0" applyNumberFormat="1" applyFont="1" applyBorder="1" applyAlignment="1">
      <alignment horizontal="center" vertical="center" readingOrder="2"/>
    </xf>
    <xf numFmtId="1" fontId="9" fillId="0" borderId="1" xfId="0" applyNumberFormat="1" applyFont="1" applyBorder="1" applyAlignment="1">
      <alignment horizontal="center" vertical="center" readingOrder="2"/>
    </xf>
    <xf numFmtId="37" fontId="9" fillId="0" borderId="3" xfId="0" applyNumberFormat="1" applyFont="1" applyBorder="1" applyAlignment="1">
      <alignment horizontal="center" vertical="center" shrinkToFit="1" readingOrder="2"/>
    </xf>
    <xf numFmtId="37" fontId="13" fillId="0" borderId="0" xfId="0" applyNumberFormat="1" applyFont="1" applyAlignment="1">
      <alignment horizontal="center" vertical="center" shrinkToFit="1" readingOrder="2"/>
    </xf>
    <xf numFmtId="0" fontId="13" fillId="0" borderId="0" xfId="0" applyFont="1" applyAlignment="1">
      <alignment horizontal="center" vertical="center" shrinkToFit="1" readingOrder="2"/>
    </xf>
    <xf numFmtId="0" fontId="12" fillId="3" borderId="0" xfId="0" applyFont="1" applyFill="1" applyAlignment="1">
      <alignment horizontal="right" vertical="center" shrinkToFit="1" readingOrder="2"/>
    </xf>
    <xf numFmtId="0" fontId="18" fillId="0" borderId="0" xfId="0" applyFont="1" applyAlignment="1">
      <alignment horizontal="right" vertical="center" shrinkToFit="1" readingOrder="2"/>
    </xf>
    <xf numFmtId="37" fontId="9" fillId="0" borderId="3" xfId="0" applyNumberFormat="1" applyFont="1" applyBorder="1" applyAlignment="1">
      <alignment horizontal="center" readingOrder="2"/>
    </xf>
    <xf numFmtId="0" fontId="9" fillId="0" borderId="0" xfId="0" applyFont="1" applyAlignment="1">
      <alignment horizontal="center" vertical="center" shrinkToFit="1" readingOrder="2"/>
    </xf>
    <xf numFmtId="37" fontId="9" fillId="0" borderId="0" xfId="0" applyNumberFormat="1" applyFont="1" applyAlignment="1">
      <alignment readingOrder="2"/>
    </xf>
    <xf numFmtId="1" fontId="5" fillId="0" borderId="0" xfId="0" applyNumberFormat="1" applyFont="1" applyAlignment="1">
      <alignment horizontal="center" vertical="center" wrapText="1" readingOrder="2"/>
    </xf>
    <xf numFmtId="0" fontId="5" fillId="0" borderId="0" xfId="0" applyFont="1" applyAlignment="1">
      <alignment horizontal="center" vertical="center" wrapText="1" readingOrder="2"/>
    </xf>
    <xf numFmtId="0" fontId="5" fillId="0" borderId="1" xfId="0" applyFont="1" applyBorder="1" applyAlignment="1">
      <alignment horizontal="center" vertical="center" wrapText="1" readingOrder="2"/>
    </xf>
    <xf numFmtId="0" fontId="5" fillId="0" borderId="0" xfId="0" applyFont="1" applyAlignment="1">
      <alignment horizontal="center" vertical="center" readingOrder="2"/>
    </xf>
    <xf numFmtId="0" fontId="4" fillId="0" borderId="0" xfId="0" applyFont="1" applyAlignment="1">
      <alignment horizontal="right" vertical="center" readingOrder="2"/>
    </xf>
    <xf numFmtId="0" fontId="5" fillId="0" borderId="1" xfId="0" applyFont="1" applyBorder="1" applyAlignment="1">
      <alignment horizontal="center" vertical="center" readingOrder="2"/>
    </xf>
    <xf numFmtId="0" fontId="36" fillId="0" borderId="0" xfId="0" applyFont="1" applyAlignment="1">
      <alignment horizontal="right" vertical="center" readingOrder="2"/>
    </xf>
    <xf numFmtId="0" fontId="77" fillId="0" borderId="0" xfId="0" applyFont="1" applyAlignment="1">
      <alignment horizontal="center" vertical="top" wrapText="1"/>
    </xf>
    <xf numFmtId="0" fontId="4" fillId="0" borderId="0" xfId="0" applyFont="1" applyAlignment="1">
      <alignment horizontal="right" vertical="center" wrapText="1" readingOrder="2"/>
    </xf>
    <xf numFmtId="0" fontId="36" fillId="0" borderId="3" xfId="0" applyFont="1" applyBorder="1" applyAlignment="1">
      <alignment horizontal="center" vertical="center" readingOrder="2"/>
    </xf>
    <xf numFmtId="0" fontId="36" fillId="0" borderId="0" xfId="0" applyFont="1" applyAlignment="1">
      <alignment horizontal="center" vertical="center" readingOrder="2"/>
    </xf>
    <xf numFmtId="0" fontId="5" fillId="0" borderId="0" xfId="0" applyFont="1" applyAlignment="1">
      <alignment horizontal="right" vertical="top" wrapText="1" readingOrder="2"/>
    </xf>
    <xf numFmtId="0" fontId="5" fillId="0" borderId="0" xfId="0" applyFont="1" applyAlignment="1">
      <alignment horizontal="right" vertical="top" readingOrder="2"/>
    </xf>
    <xf numFmtId="0" fontId="12" fillId="0" borderId="0" xfId="0" applyFont="1" applyAlignment="1">
      <alignment horizontal="center" vertical="center" shrinkToFit="1" readingOrder="2"/>
    </xf>
    <xf numFmtId="0" fontId="78" fillId="0" borderId="0" xfId="0" applyFont="1" applyAlignment="1">
      <alignment horizontal="center" vertical="center" shrinkToFit="1" readingOrder="2"/>
    </xf>
  </cellXfs>
  <cellStyles count="18">
    <cellStyle name="Comma" xfId="17" builtinId="3"/>
    <cellStyle name="Comma [0] 2" xfId="12"/>
    <cellStyle name="Comma [0] 3" xfId="13"/>
    <cellStyle name="Comma 10" xfId="2"/>
    <cellStyle name="Comma 2" xfId="5"/>
    <cellStyle name="Comma 26" xfId="1"/>
    <cellStyle name="Comma 3" xfId="11"/>
    <cellStyle name="Hyperlink" xfId="14" builtinId="8"/>
    <cellStyle name="Normal" xfId="0" builtinId="0"/>
    <cellStyle name="Normal 11" xfId="6"/>
    <cellStyle name="Normal 11 3 3" xfId="15"/>
    <cellStyle name="Normal 2" xfId="4"/>
    <cellStyle name="Normal 2 10" xfId="3"/>
    <cellStyle name="Normal 2 2" xfId="7"/>
    <cellStyle name="Normal 2 3" xfId="8"/>
    <cellStyle name="Normal 3" xfId="9"/>
    <cellStyle name="Normal 4" xfId="10"/>
    <cellStyle name="Percent" xfId="16" builtinId="5"/>
  </cellStyles>
  <dxfs count="0"/>
  <tableStyles count="0" defaultTableStyle="TableStyleMedium9" defaultPivotStyle="PivotStyleLight16"/>
  <colors>
    <mruColors>
      <color rgb="FF000000"/>
      <color rgb="FF00DE64"/>
      <color rgb="FFA907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0</xdr:col>
      <xdr:colOff>1075266</xdr:colOff>
      <xdr:row>10</xdr:row>
      <xdr:rowOff>74083</xdr:rowOff>
    </xdr:from>
    <xdr:ext cx="184731" cy="264560"/>
    <xdr:sp macro="" textlink="">
      <xdr:nvSpPr>
        <xdr:cNvPr id="2" name="TextBox 1">
          <a:extLst>
            <a:ext uri="{FF2B5EF4-FFF2-40B4-BE49-F238E27FC236}">
              <a16:creationId xmlns:a16="http://schemas.microsoft.com/office/drawing/2014/main" id="{948FA06C-A793-2B6F-930E-75A240094C90}"/>
            </a:ext>
          </a:extLst>
        </xdr:cNvPr>
        <xdr:cNvSpPr txBox="1"/>
      </xdr:nvSpPr>
      <xdr:spPr>
        <a:xfrm>
          <a:off x="10064072086" y="238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budget.mohme.gov.ir/&#1575;&#1591;&#1604;&#1575;&#1593;&#1575;&#1578;%20&#1603;&#1604;&#1610;/&#1575;&#1591;&#1604;&#1575;&#1593;&#1575;&#1578;%20&#1583;&#1575;&#1606;&#1588;&#1711;&#1575;&#1607;&#1607;&#1575;%20&#1608;%20&#1585;&#1583;&#1610;&#1601;&#1607;&#1575;%20&#1583;&#1585;%20&#1587;&#1575;&#1604;%201390/&#1604;&#1575;&#1610;&#1581;&#1607;%2091/My%20Documents/&#1607;&#1586;&#1610;&#1606;&#1607;%2083/&#1605;&#1608;&#1575;&#1601;&#1602;&#1578;&#1606;&#1575;&#1605;&#1607;%2083/&#1588;&#1607;&#1585;%20&#1578;&#1607;&#1585;&#1575;&#16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amed\Desktop\&#1601;&#1575;&#1740;&#1604;%20&#1607;&#1575;&#1740;%20&#1575;&#1589;&#1604;&#1575;&#1581;%20&#1588;&#1583;&#1607;%20&#1606;&#1587;&#1576;&#1578;%20&#1607;&#1575;&#1740;%20&#1605;&#1575;&#1604;&#1740;%2095\&#1575;&#1591;&#1604;&#1575;&#1593;&#1575;&#1578;%20&#1603;&#1604;&#1610;\&#1575;&#1591;&#1604;&#1575;&#1593;&#1575;&#1578;%20&#1583;&#1575;&#1606;&#1588;&#1711;&#1575;&#1607;&#1607;&#1575;%20&#1608;%20&#1585;&#1583;&#1610;&#1601;&#1607;&#1575;%20&#1583;&#1585;%20&#1587;&#1575;&#1604;%201390\&#1604;&#1575;&#1610;&#1581;&#1607;%2091\My%20Documents\&#1607;&#1586;&#1610;&#1606;&#1607;%2083\&#1605;&#1608;&#1575;&#1601;&#1602;&#1578;&#1606;&#1575;&#1605;&#1607;%2083\&#1588;&#1607;&#1585;%20&#1578;&#1607;&#1585;&#1575;&#16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budget.mohme.gov.ir/My%20Documents/&#1607;&#1586;&#1610;&#1606;&#1607;%2083/&#1605;&#1608;&#1575;&#1601;&#1602;&#1578;&#1606;&#1575;&#1605;&#1607;%2083/&#1588;&#1607;&#1585;%20&#1578;&#1607;&#1585;&#1575;&#16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66666\&#1601;&#1585;&#1605;&#1578;%20&#1589;&#1608;&#1585;&#1578;&#1607;&#1575;&#1610;%20&#1605;&#1575;&#1604;&#1610;%201402044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c00000144\Desktop\&#1589;&#1608;&#1585;&#1578;\&#1601;&#1585;&#1605;&#1578;%20&#1589;&#1608;&#1585;&#1578;&#1607;&#1575;&#1610;%20&#1605;&#1575;&#1604;&#1610;%2014020403222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589;&#1608;&#1585;&#1578;%20&#1605;&#1575;&#1604;&#1740;%20&#1606;&#1607;&#1575;&#1740;&#1740;%20&#1587;&#1575;&#1604;%201401&#1583;&#1575;&#1606;&#1588;&#1711;&#1575;&#1607;%20&#1593;&#1604;&#1608;&#1605;%20&#1662;&#1586;&#1588;&#1705;&#1740;%20&#1587;&#1605;&#1606;&#1575;&#1606;%20%20-%20&#1583;&#1608;&#1605;&#1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فرم شماره 2"/>
      <sheetName val=" فرم شماره 3"/>
      <sheetName val="فرم شماره 3.1"/>
      <sheetName val="فرم شماره 4 -الف"/>
      <sheetName val="فرم شماره 5"/>
      <sheetName val="_فرم_شماره_2"/>
      <sheetName val="_فرم_شماره_3"/>
      <sheetName val="فرم_شماره_3_1"/>
      <sheetName val="فرم_شماره_4_-الف"/>
      <sheetName val="فرم_شماره_5"/>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فرم شماره 2"/>
      <sheetName val=" فرم شماره 3"/>
      <sheetName val="فرم شماره 3.1"/>
      <sheetName val="فرم شماره 4 -الف"/>
      <sheetName val="فرم شماره 5"/>
      <sheetName val="_فرم_شماره_2"/>
      <sheetName val="_فرم_شماره_3"/>
      <sheetName val="فرم_شماره_3_1"/>
      <sheetName val="فرم_شماره_4_-الف"/>
      <sheetName val="فرم_شماره_5"/>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فرم شماره 2"/>
      <sheetName val=" فرم شماره 3"/>
      <sheetName val="فرم شماره 3.1"/>
      <sheetName val="فرم شماره 4 -الف"/>
      <sheetName val="فرم شماره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تجزیه و تحلیل صورت مالی"/>
      <sheetName val="مفروضات"/>
      <sheetName val="صفحه اول"/>
      <sheetName val="صورت وضعیت مالی"/>
      <sheetName val="صورت تغییرات در وضعیت مالی"/>
      <sheetName val="صورت تغییرات در ارزش خالص"/>
      <sheetName val="صورت مقایسه بودجه و عملکرد"/>
      <sheetName val="1-2"/>
      <sheetName val="2-1"/>
      <sheetName val="2-2"/>
      <sheetName val="2-3"/>
      <sheetName val="3"/>
      <sheetName val="5"/>
      <sheetName val="6"/>
      <sheetName val="7-8"/>
      <sheetName val="9"/>
      <sheetName val="10-11"/>
      <sheetName val="12"/>
      <sheetName val="13"/>
      <sheetName val="13-14"/>
      <sheetName val="15-17"/>
      <sheetName val="18-19"/>
      <sheetName val="20-21"/>
      <sheetName val="22-24"/>
      <sheetName val="25-26"/>
      <sheetName val="27-28"/>
      <sheetName val="29-32"/>
      <sheetName val="33-34"/>
      <sheetName val="34-35"/>
      <sheetName val="36-40"/>
      <sheetName val="41-43"/>
      <sheetName val="44-45"/>
      <sheetName val="46-48"/>
      <sheetName val="49-52"/>
      <sheetName val="53"/>
      <sheetName val="54-56"/>
      <sheetName val="57-58"/>
      <sheetName val="59"/>
      <sheetName val="59-4"/>
      <sheetName val="60-1"/>
      <sheetName val="60-4"/>
      <sheetName val="61"/>
      <sheetName val="62-63"/>
      <sheetName val="63-3"/>
      <sheetName val="63-64"/>
      <sheetName val="65-67"/>
      <sheetName val="68-70"/>
      <sheetName val="71-73"/>
      <sheetName val="74"/>
      <sheetName val="74-3"/>
      <sheetName val="75"/>
      <sheetName val="76"/>
      <sheetName val="77-78"/>
      <sheetName val="79"/>
      <sheetName val="80"/>
    </sheetNames>
    <sheetDataSet>
      <sheetData sheetId="0" refreshError="1"/>
      <sheetData sheetId="1" refreshError="1">
        <row r="1">
          <cell r="C1" t="str">
            <v>دانشگاه علوم پزشکی و خدمات بهداشتی درمانی سمنان</v>
          </cell>
        </row>
        <row r="3">
          <cell r="C3">
            <v>1402</v>
          </cell>
        </row>
        <row r="4">
          <cell r="C4">
            <v>1401</v>
          </cell>
        </row>
        <row r="7">
          <cell r="C7" t="str">
            <v>سال مالي منتهي به 29 اسفند ماه 1402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تجزیه و تحلیل صورت مالی"/>
      <sheetName val="مفروضات"/>
      <sheetName val="صفحه اول"/>
      <sheetName val="صورت وضعیت مالی"/>
      <sheetName val="صورت تغییرات در وضعیت مالی"/>
      <sheetName val="صورت تغییرات در ارزش خالص"/>
      <sheetName val="صورت مقایسه بودجه و عملکرد"/>
      <sheetName val="1-2"/>
      <sheetName val="2-1"/>
      <sheetName val="2-2"/>
      <sheetName val="2-3"/>
      <sheetName val="3"/>
      <sheetName val="5"/>
      <sheetName val="6"/>
      <sheetName val="7-8"/>
      <sheetName val="9"/>
      <sheetName val="10-11"/>
      <sheetName val="12"/>
      <sheetName val="13"/>
      <sheetName val="13-14"/>
      <sheetName val="15-17"/>
      <sheetName val="18-19"/>
      <sheetName val="20-21"/>
      <sheetName val="22-24"/>
      <sheetName val="25-26"/>
      <sheetName val="27-28"/>
      <sheetName val="29-32"/>
      <sheetName val="33-34"/>
      <sheetName val="34-35"/>
      <sheetName val="36-40"/>
      <sheetName val="41-43"/>
      <sheetName val="44-45"/>
      <sheetName val="46-48"/>
      <sheetName val="49-52"/>
      <sheetName val="53"/>
      <sheetName val="54-56"/>
      <sheetName val="57-58"/>
      <sheetName val="59"/>
      <sheetName val="59-4"/>
      <sheetName val="60-1"/>
      <sheetName val="60-4"/>
      <sheetName val="61"/>
      <sheetName val="62-63"/>
      <sheetName val="63-3"/>
      <sheetName val="63-64"/>
      <sheetName val="65-67"/>
      <sheetName val="68-70"/>
      <sheetName val="71-73"/>
      <sheetName val="74"/>
      <sheetName val="74-3"/>
      <sheetName val="75"/>
      <sheetName val="76"/>
      <sheetName val="77-78"/>
      <sheetName val="79"/>
      <sheetName val="80"/>
    </sheetNames>
    <sheetDataSet>
      <sheetData sheetId="0"/>
      <sheetData sheetId="1">
        <row r="1">
          <cell r="C1" t="str">
            <v>دانشگاه علوم پزشکی و خدمات بهداشتی درمانی سمنان</v>
          </cell>
        </row>
        <row r="3">
          <cell r="C3">
            <v>1402</v>
          </cell>
        </row>
        <row r="4">
          <cell r="C4">
            <v>1401</v>
          </cell>
        </row>
        <row r="7">
          <cell r="C7" t="str">
            <v>سال مالي منتهي به 29 اسفند ماه 1402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فروضات"/>
      <sheetName val="فهرست مندرجات "/>
      <sheetName val="نامه‌ی استاندارد صورت‌های مالی"/>
      <sheetName val="صورت وضعیت مالی"/>
      <sheetName val="صورت تغییرات در وضعیت مالی"/>
      <sheetName val="صورت مقایسه بودجه و عملکرد"/>
      <sheetName val="5-7"/>
      <sheetName val="8"/>
      <sheetName val="9"/>
      <sheetName val="10"/>
      <sheetName val="3بانک "/>
      <sheetName val="4 دریافتنی مبادله وغیرمبادله "/>
      <sheetName val="5موجودیها  "/>
      <sheetName val="6پیش پرداخت ها "/>
      <sheetName val="88داراییهای مشهود "/>
      <sheetName val="دارایی های در جریان "/>
      <sheetName val="9دارایی غیرمشهود"/>
      <sheetName val="11حسابهای پرداختنی مبادله "/>
      <sheetName val="12و13 پیش دریافت و سایر بدهی11 "/>
      <sheetName val="18و17و16 ذخایرو سایربدهی و تجدی"/>
      <sheetName val=" 22و21و20و19دریافتی ها  "/>
      <sheetName val="24و23هزینههای 1و2"/>
      <sheetName val="27و26و25هزینه 4و5و6"/>
      <sheetName val="29و28هزینه 7 و استهلاک "/>
      <sheetName val="35و34و33و32و31و30درآمد دولت"/>
      <sheetName val="35تعدیلات سنواتی "/>
      <sheetName val="36-37-38دریافتی ها  "/>
      <sheetName val="39شرح هزینه های عمومی "/>
      <sheetName val="40شرح هزینه های اختصاصی "/>
      <sheetName val="41شرح هزینه های تملک "/>
      <sheetName val="45 شرح تملک داراییهای مالی "/>
      <sheetName val="46شرح درآمدهای عمومی "/>
      <sheetName val="42شرح درآمدهای اختصاصی "/>
      <sheetName val="48شرح واگذاری دارایی مالی "/>
      <sheetName val="انتظامی "/>
      <sheetName val="معاملات با اشخاص وابسته "/>
      <sheetName val="تجزیه و تحلیل صورت مالی (2)"/>
      <sheetName val="تجزیه و تحلیل صورتهای مالی "/>
      <sheetName val="تجزیه و تحلیل صورت مال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8">
          <cell r="B48" t="str">
            <v>دریافتی از محل اعتبارات مبارزه با کرونا- اعتبارات عمومی هزینه ای</v>
          </cell>
        </row>
        <row r="49">
          <cell r="B49" t="str">
            <v>دریافتی از محل اعتبارات مبارزه با کرونا -تملک دارایی سرمایه ای</v>
          </cell>
        </row>
        <row r="51">
          <cell r="B51" t="str">
            <v xml:space="preserve">دریافتی از محل مدیریت اجرای پزشک خانواده </v>
          </cell>
        </row>
        <row r="55">
          <cell r="B55" t="str">
            <v xml:space="preserve">دریافتی از کمیساریای عالی پناهندگان </v>
          </cell>
        </row>
        <row r="56">
          <cell r="B56" t="str">
            <v>دریافتی از محل جبران ما به التفاوت دارو ،واکسن و شیر خشک</v>
          </cell>
        </row>
        <row r="64">
          <cell r="B64" t="str">
            <v>کمک به بیماران خاص و صعب العلاج</v>
          </cell>
        </row>
        <row r="67">
          <cell r="B67" t="str">
            <v>بیماریابی فعال و درمان سل مهاجرین افغان</v>
          </cell>
        </row>
        <row r="68">
          <cell r="B68" t="str">
            <v>ساخت مراکز ناباروری</v>
          </cell>
        </row>
        <row r="70">
          <cell r="B70" t="str">
            <v>ماندگاری پزشکان مناطق محروم</v>
          </cell>
        </row>
        <row r="71">
          <cell r="B71" t="str">
            <v>حضور پزشکان متخصص مقیم دربیمارستان</v>
          </cell>
        </row>
        <row r="72">
          <cell r="B72" t="str">
            <v>کمک به احداث مراکز جامع روستایی</v>
          </cell>
        </row>
        <row r="73">
          <cell r="B73" t="str">
            <v>صندوق رفاه دانشجویان</v>
          </cell>
        </row>
        <row r="74">
          <cell r="B74" t="str">
            <v>کاهش میزان پرداختی بیماران بستری</v>
          </cell>
        </row>
        <row r="75">
          <cell r="B75" t="str">
            <v>فرانشیز زایمان طبیعی</v>
          </cell>
        </row>
        <row r="76">
          <cell r="B76" t="str">
            <v>موادمخدر</v>
          </cell>
        </row>
        <row r="77">
          <cell r="B77" t="str">
            <v>پاداش پایان خدمت</v>
          </cell>
        </row>
        <row r="78">
          <cell r="B78" t="str">
            <v>تسویه بدهی دارویی</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28"/>
  <sheetViews>
    <sheetView rightToLeft="1" zoomScale="70" zoomScaleNormal="70" workbookViewId="0">
      <selection activeCell="F53" sqref="F53"/>
    </sheetView>
  </sheetViews>
  <sheetFormatPr defaultColWidth="8.85546875" defaultRowHeight="12.75"/>
  <cols>
    <col min="1" max="1" width="0.42578125" style="132" customWidth="1"/>
    <col min="2" max="3" width="8.85546875" style="132"/>
    <col min="4" max="4" width="50.7109375" style="132" bestFit="1" customWidth="1"/>
    <col min="5" max="5" width="42.7109375" style="238" customWidth="1"/>
    <col min="6" max="6" width="40.140625" style="238" customWidth="1"/>
    <col min="7" max="7" width="25.5703125" style="238" customWidth="1"/>
    <col min="8" max="8" width="24.85546875" style="132" customWidth="1"/>
    <col min="9" max="16384" width="8.85546875" style="132"/>
  </cols>
  <sheetData>
    <row r="1" spans="2:8" ht="43.5" customHeight="1" thickBot="1">
      <c r="B1" s="712" t="str">
        <f>مفروضات!C1</f>
        <v>دانشگاه علوم پزشکی و خدمات بهداشتی درمانی سمنان</v>
      </c>
      <c r="C1" s="713"/>
      <c r="D1" s="713"/>
      <c r="E1" s="235" t="s">
        <v>418</v>
      </c>
      <c r="F1" s="294">
        <f>مفروضات!$C$10</f>
        <v>125700</v>
      </c>
      <c r="G1" s="714" t="s">
        <v>456</v>
      </c>
      <c r="H1" s="714"/>
    </row>
    <row r="2" spans="2:8" ht="30.75" customHeight="1">
      <c r="B2" s="715" t="s">
        <v>419</v>
      </c>
      <c r="C2" s="717" t="s">
        <v>420</v>
      </c>
      <c r="D2" s="717" t="s">
        <v>421</v>
      </c>
      <c r="E2" s="150"/>
      <c r="F2" s="150" t="s">
        <v>205</v>
      </c>
      <c r="G2" s="717" t="s">
        <v>469</v>
      </c>
      <c r="H2" s="719"/>
    </row>
    <row r="3" spans="2:8" ht="30.75" customHeight="1" thickBot="1">
      <c r="B3" s="716"/>
      <c r="C3" s="718"/>
      <c r="D3" s="718"/>
      <c r="E3" s="151" t="str">
        <f>'صورت وضعیت مالی'!$E$6</f>
        <v>1402/12/29</v>
      </c>
      <c r="F3" s="151" t="str">
        <f>'صورت وضعیت مالی'!$G$6</f>
        <v>1401/12/29</v>
      </c>
      <c r="G3" s="152" t="s">
        <v>422</v>
      </c>
      <c r="H3" s="153" t="s">
        <v>423</v>
      </c>
    </row>
    <row r="4" spans="2:8" ht="43.5" customHeight="1">
      <c r="B4" s="724" t="s">
        <v>424</v>
      </c>
      <c r="C4" s="154">
        <v>1</v>
      </c>
      <c r="D4" s="155" t="s">
        <v>120</v>
      </c>
      <c r="E4" s="234">
        <f>'صورت وضعیت مالی'!E10</f>
        <v>1295482256977</v>
      </c>
      <c r="F4" s="234">
        <f>'صورت وضعیت مالی'!G10</f>
        <v>1063790661384</v>
      </c>
      <c r="G4" s="234">
        <f>E4-F4</f>
        <v>231691595593</v>
      </c>
      <c r="H4" s="156">
        <f>IF(AND(F4=0,E4&gt;0),100%,IF(AND(F4=0,E4=0),0,(E4-F4)/F4))</f>
        <v>0.21779811010144365</v>
      </c>
    </row>
    <row r="5" spans="2:8" ht="43.5" customHeight="1">
      <c r="B5" s="725"/>
      <c r="C5" s="157">
        <v>3</v>
      </c>
      <c r="D5" s="158" t="s">
        <v>473</v>
      </c>
      <c r="E5" s="234">
        <f>'صورت وضعیت مالی'!E11</f>
        <v>2530083935065</v>
      </c>
      <c r="F5" s="234">
        <f>'صورت وضعیت مالی'!G11</f>
        <v>1489820284759</v>
      </c>
      <c r="G5" s="234">
        <f>E5-F5</f>
        <v>1040263650306</v>
      </c>
      <c r="H5" s="159">
        <f t="shared" ref="H5:H43" si="0">IF(AND(F5=0,E5&gt;0),100%,IF(AND(F5=0,E5=0),0,(E5-F5)/F5))</f>
        <v>0.69824774232704023</v>
      </c>
    </row>
    <row r="6" spans="2:8" ht="43.5" customHeight="1">
      <c r="B6" s="725"/>
      <c r="C6" s="157">
        <v>4</v>
      </c>
      <c r="D6" s="158" t="s">
        <v>474</v>
      </c>
      <c r="E6" s="234">
        <f>'صورت وضعیت مالی'!E12</f>
        <v>834319047730</v>
      </c>
      <c r="F6" s="234">
        <f>'صورت وضعیت مالی'!G12</f>
        <v>309340211624</v>
      </c>
      <c r="G6" s="234">
        <f>E6-F6</f>
        <v>524978836106</v>
      </c>
      <c r="H6" s="159">
        <f t="shared" si="0"/>
        <v>1.6970921218095842</v>
      </c>
    </row>
    <row r="7" spans="2:8" ht="43.5" customHeight="1">
      <c r="B7" s="725"/>
      <c r="C7" s="157">
        <v>5</v>
      </c>
      <c r="D7" s="158" t="s">
        <v>497</v>
      </c>
      <c r="E7" s="234">
        <f>'صورت وضعیت مالی'!E13</f>
        <v>776023384632</v>
      </c>
      <c r="F7" s="234">
        <f>'صورت وضعیت مالی'!G13</f>
        <v>696129573387</v>
      </c>
      <c r="G7" s="234">
        <f>E7-F7</f>
        <v>79893811245</v>
      </c>
      <c r="H7" s="159">
        <f t="shared" si="0"/>
        <v>0.11476859237035252</v>
      </c>
    </row>
    <row r="8" spans="2:8" ht="43.5" customHeight="1">
      <c r="B8" s="725"/>
      <c r="C8" s="157">
        <v>6</v>
      </c>
      <c r="D8" s="158" t="s">
        <v>124</v>
      </c>
      <c r="E8" s="234">
        <f>'صورت وضعیت مالی'!E14</f>
        <v>71665567362</v>
      </c>
      <c r="F8" s="234">
        <f>'صورت وضعیت مالی'!G14</f>
        <v>174829123128</v>
      </c>
      <c r="G8" s="234">
        <f>E8-F8</f>
        <v>-103163555766</v>
      </c>
      <c r="H8" s="159">
        <f t="shared" si="0"/>
        <v>-0.59008221239243686</v>
      </c>
    </row>
    <row r="9" spans="2:8" ht="43.5" customHeight="1">
      <c r="B9" s="725"/>
      <c r="C9" s="160">
        <v>7</v>
      </c>
      <c r="D9" s="161" t="s">
        <v>1038</v>
      </c>
      <c r="E9" s="239">
        <f>SUM(E4:E8)</f>
        <v>5507574191766</v>
      </c>
      <c r="F9" s="239">
        <f>SUM(F4:F8)</f>
        <v>3733909854282</v>
      </c>
      <c r="G9" s="239">
        <f>SUM(G4:G8)</f>
        <v>1773664337484</v>
      </c>
      <c r="H9" s="162">
        <f t="shared" si="0"/>
        <v>0.47501530746651111</v>
      </c>
    </row>
    <row r="10" spans="2:8" ht="43.5" customHeight="1">
      <c r="B10" s="725"/>
      <c r="C10" s="157">
        <v>8</v>
      </c>
      <c r="D10" s="158" t="s">
        <v>131</v>
      </c>
      <c r="E10" s="234">
        <f>'صورت وضعیت مالی'!E17</f>
        <v>33781632415</v>
      </c>
      <c r="F10" s="234">
        <f>'صورت وضعیت مالی'!G17</f>
        <v>33705715495</v>
      </c>
      <c r="G10" s="234">
        <f t="shared" ref="G10:G43" si="1">E10-F10</f>
        <v>75916920</v>
      </c>
      <c r="H10" s="159">
        <f t="shared" si="0"/>
        <v>2.2523456002962383E-3</v>
      </c>
    </row>
    <row r="11" spans="2:8" ht="43.5" customHeight="1">
      <c r="B11" s="725"/>
      <c r="C11" s="157">
        <v>9</v>
      </c>
      <c r="D11" s="158" t="s">
        <v>130</v>
      </c>
      <c r="E11" s="234">
        <f>'صورت وضعیت مالی'!E18</f>
        <v>13683207214069</v>
      </c>
      <c r="F11" s="234">
        <f>'صورت وضعیت مالی'!G18</f>
        <v>12921420009398</v>
      </c>
      <c r="G11" s="234">
        <f t="shared" si="1"/>
        <v>761787204671</v>
      </c>
      <c r="H11" s="159">
        <f t="shared" si="0"/>
        <v>5.8955378287907784E-2</v>
      </c>
    </row>
    <row r="12" spans="2:8" ht="43.5" customHeight="1">
      <c r="B12" s="725"/>
      <c r="C12" s="160">
        <v>10</v>
      </c>
      <c r="D12" s="161" t="s">
        <v>1174</v>
      </c>
      <c r="E12" s="239">
        <f>SUM(E10:E11)</f>
        <v>13716988846484</v>
      </c>
      <c r="F12" s="239">
        <f>SUM(F10:F11)</f>
        <v>12955125724893</v>
      </c>
      <c r="G12" s="239">
        <f t="shared" si="1"/>
        <v>761863121591</v>
      </c>
      <c r="H12" s="162">
        <f t="shared" si="0"/>
        <v>5.8807852410655968E-2</v>
      </c>
    </row>
    <row r="13" spans="2:8" ht="49.15" customHeight="1">
      <c r="B13" s="163"/>
      <c r="C13" s="223">
        <v>11</v>
      </c>
      <c r="D13" s="224" t="s">
        <v>1175</v>
      </c>
      <c r="E13" s="240">
        <f>E9+E12</f>
        <v>19224563038250</v>
      </c>
      <c r="F13" s="240">
        <f>F9+F12</f>
        <v>16689035579175</v>
      </c>
      <c r="G13" s="240">
        <f t="shared" si="1"/>
        <v>2535527459075</v>
      </c>
      <c r="H13" s="225">
        <f t="shared" si="0"/>
        <v>0.15192774004502066</v>
      </c>
    </row>
    <row r="14" spans="2:8" ht="43.5" customHeight="1">
      <c r="B14" s="725" t="s">
        <v>425</v>
      </c>
      <c r="C14" s="157">
        <v>12</v>
      </c>
      <c r="D14" s="165" t="s">
        <v>475</v>
      </c>
      <c r="E14" s="234">
        <f>'صورت وضعیت مالی'!M10</f>
        <v>5285693828774</v>
      </c>
      <c r="F14" s="234">
        <f>'صورت وضعیت مالی'!O10</f>
        <v>4467039720334</v>
      </c>
      <c r="G14" s="234">
        <f t="shared" si="1"/>
        <v>818654108440</v>
      </c>
      <c r="H14" s="159">
        <f t="shared" si="0"/>
        <v>0.18326546431039778</v>
      </c>
    </row>
    <row r="15" spans="2:8" ht="43.5" customHeight="1">
      <c r="B15" s="725"/>
      <c r="C15" s="157">
        <v>13</v>
      </c>
      <c r="D15" s="165" t="s">
        <v>476</v>
      </c>
      <c r="E15" s="234">
        <f>'صورت وضعیت مالی'!M11</f>
        <v>156452646445</v>
      </c>
      <c r="F15" s="234">
        <f>'صورت وضعیت مالی'!O11</f>
        <v>97405671445</v>
      </c>
      <c r="G15" s="234">
        <f t="shared" si="1"/>
        <v>59046975000</v>
      </c>
      <c r="H15" s="159">
        <f t="shared" si="0"/>
        <v>0.6061964783368986</v>
      </c>
    </row>
    <row r="16" spans="2:8" ht="43.5" customHeight="1">
      <c r="B16" s="725"/>
      <c r="C16" s="157">
        <v>14</v>
      </c>
      <c r="D16" s="165" t="s">
        <v>123</v>
      </c>
      <c r="E16" s="234">
        <f>'صورت وضعیت مالی'!M12</f>
        <v>0</v>
      </c>
      <c r="F16" s="234">
        <f>'صورت وضعیت مالی'!O12</f>
        <v>9542897</v>
      </c>
      <c r="G16" s="234">
        <f t="shared" si="1"/>
        <v>-9542897</v>
      </c>
      <c r="H16" s="159">
        <f t="shared" si="0"/>
        <v>-1</v>
      </c>
    </row>
    <row r="17" spans="2:9" ht="43.5" customHeight="1">
      <c r="B17" s="725"/>
      <c r="C17" s="157">
        <v>15</v>
      </c>
      <c r="D17" s="165" t="s">
        <v>495</v>
      </c>
      <c r="E17" s="234">
        <f>'صورت وضعیت مالی'!M13</f>
        <v>614068561718</v>
      </c>
      <c r="F17" s="234">
        <f>'صورت وضعیت مالی'!O13</f>
        <v>517084036526</v>
      </c>
      <c r="G17" s="234">
        <f t="shared" si="1"/>
        <v>96984525192</v>
      </c>
      <c r="H17" s="159">
        <f t="shared" si="0"/>
        <v>0.18756047052541996</v>
      </c>
    </row>
    <row r="18" spans="2:9" ht="43.5" customHeight="1">
      <c r="B18" s="725"/>
      <c r="C18" s="157">
        <v>16</v>
      </c>
      <c r="D18" s="165" t="s">
        <v>589</v>
      </c>
      <c r="E18" s="234">
        <f>'صورت وضعیت مالی'!M14</f>
        <v>294671941636</v>
      </c>
      <c r="F18" s="234">
        <f>'صورت وضعیت مالی'!O14</f>
        <v>180193851864</v>
      </c>
      <c r="G18" s="234">
        <f t="shared" si="1"/>
        <v>114478089772</v>
      </c>
      <c r="H18" s="159">
        <f t="shared" si="0"/>
        <v>0.63530519264553764</v>
      </c>
    </row>
    <row r="19" spans="2:9" ht="43.5" customHeight="1">
      <c r="B19" s="725"/>
      <c r="C19" s="160">
        <v>17</v>
      </c>
      <c r="D19" s="161" t="s">
        <v>1176</v>
      </c>
      <c r="E19" s="239">
        <f>SUM(E14:E18)</f>
        <v>6350886978573</v>
      </c>
      <c r="F19" s="239">
        <f>SUM(F14:F18)</f>
        <v>5261732823066</v>
      </c>
      <c r="G19" s="239">
        <f t="shared" si="1"/>
        <v>1089154155507</v>
      </c>
      <c r="H19" s="162">
        <f t="shared" si="0"/>
        <v>0.20699533635239811</v>
      </c>
    </row>
    <row r="20" spans="2:9" ht="43.5" customHeight="1">
      <c r="B20" s="725"/>
      <c r="C20" s="157">
        <v>18</v>
      </c>
      <c r="D20" s="158" t="s">
        <v>477</v>
      </c>
      <c r="E20" s="234">
        <f>'صورت وضعیت مالی'!M17</f>
        <v>0</v>
      </c>
      <c r="F20" s="234">
        <f>'صورت وضعیت مالی'!O17</f>
        <v>81984404119</v>
      </c>
      <c r="G20" s="234">
        <f t="shared" si="1"/>
        <v>-81984404119</v>
      </c>
      <c r="H20" s="159">
        <f t="shared" si="0"/>
        <v>-1</v>
      </c>
    </row>
    <row r="21" spans="2:9" ht="43.5" customHeight="1">
      <c r="B21" s="725"/>
      <c r="C21" s="157">
        <v>19</v>
      </c>
      <c r="D21" s="158" t="s">
        <v>77</v>
      </c>
      <c r="E21" s="234">
        <f>'صورت وضعیت مالی'!M18</f>
        <v>5075730626470</v>
      </c>
      <c r="F21" s="234">
        <f>'صورت وضعیت مالی'!O18</f>
        <v>4299838958956</v>
      </c>
      <c r="G21" s="234">
        <f t="shared" si="1"/>
        <v>775891667514</v>
      </c>
      <c r="H21" s="159">
        <f t="shared" si="0"/>
        <v>0.18044668065949762</v>
      </c>
    </row>
    <row r="22" spans="2:9" ht="43.5" customHeight="1">
      <c r="B22" s="725"/>
      <c r="C22" s="157">
        <v>20</v>
      </c>
      <c r="D22" s="158" t="s">
        <v>478</v>
      </c>
      <c r="E22" s="234">
        <f>'صورت وضعیت مالی'!M19</f>
        <v>1696575904593</v>
      </c>
      <c r="F22" s="234">
        <f>'صورت وضعیت مالی'!O19</f>
        <v>1508277118971</v>
      </c>
      <c r="G22" s="234">
        <f t="shared" si="1"/>
        <v>188298785622</v>
      </c>
      <c r="H22" s="159">
        <f t="shared" si="0"/>
        <v>0.12484362671394504</v>
      </c>
    </row>
    <row r="23" spans="2:9" ht="43.5" customHeight="1">
      <c r="B23" s="725"/>
      <c r="C23" s="160">
        <v>21</v>
      </c>
      <c r="D23" s="161" t="s">
        <v>1177</v>
      </c>
      <c r="E23" s="239">
        <f>SUM(E20:E22)</f>
        <v>6772306531063</v>
      </c>
      <c r="F23" s="239">
        <f>SUM(F20:F22)</f>
        <v>5890100482046</v>
      </c>
      <c r="G23" s="239">
        <f t="shared" si="1"/>
        <v>882206049017</v>
      </c>
      <c r="H23" s="162">
        <f t="shared" si="0"/>
        <v>0.14977775875065458</v>
      </c>
      <c r="I23" s="132" t="s">
        <v>1023</v>
      </c>
    </row>
    <row r="24" spans="2:9" ht="43.5" customHeight="1">
      <c r="B24" s="163"/>
      <c r="C24" s="241">
        <v>22</v>
      </c>
      <c r="D24" s="242" t="s">
        <v>1178</v>
      </c>
      <c r="E24" s="243">
        <f>E19+E23</f>
        <v>13123193509636</v>
      </c>
      <c r="F24" s="243">
        <f>F19+F23</f>
        <v>11151833305112</v>
      </c>
      <c r="G24" s="243">
        <f t="shared" si="1"/>
        <v>1971360204524</v>
      </c>
      <c r="H24" s="244">
        <f t="shared" si="0"/>
        <v>0.17677454016644317</v>
      </c>
    </row>
    <row r="25" spans="2:9" ht="43.5" customHeight="1">
      <c r="B25" s="725" t="s">
        <v>426</v>
      </c>
      <c r="C25" s="157">
        <v>23</v>
      </c>
      <c r="D25" s="158" t="s">
        <v>427</v>
      </c>
      <c r="E25" s="234">
        <f>'صورت تغییرات در وضعیت مالی'!G15</f>
        <v>19678609541843</v>
      </c>
      <c r="F25" s="234">
        <f>'صورت تغییرات در وضعیت مالی'!K15</f>
        <v>14424602847665</v>
      </c>
      <c r="G25" s="234">
        <f t="shared" si="1"/>
        <v>5254006694178</v>
      </c>
      <c r="H25" s="159">
        <f t="shared" si="0"/>
        <v>0.36423926188224298</v>
      </c>
    </row>
    <row r="26" spans="2:9" ht="43.5" customHeight="1">
      <c r="B26" s="725"/>
      <c r="C26" s="157">
        <v>24</v>
      </c>
      <c r="D26" s="166" t="s">
        <v>428</v>
      </c>
      <c r="E26" s="234">
        <f>-'صورت تغییرات در وضعیت مالی'!$G$26</f>
        <v>-19114442287292</v>
      </c>
      <c r="F26" s="234">
        <f>-'صورت تغییرات در وضعیت مالی'!$K$26</f>
        <v>-14057068518238</v>
      </c>
      <c r="G26" s="234">
        <f t="shared" si="1"/>
        <v>-5057373769054</v>
      </c>
      <c r="H26" s="159">
        <f t="shared" si="0"/>
        <v>0.35977442682963623</v>
      </c>
    </row>
    <row r="27" spans="2:9" ht="43.5" customHeight="1">
      <c r="B27" s="725"/>
      <c r="C27" s="157">
        <v>25</v>
      </c>
      <c r="D27" s="158" t="s">
        <v>599</v>
      </c>
      <c r="E27" s="234">
        <f>'صورت تغییرات در وضعیت مالی'!$G$34</f>
        <v>128596546684</v>
      </c>
      <c r="F27" s="234">
        <f>'صورت تغییرات در وضعیت مالی'!$K$34</f>
        <v>115418306182</v>
      </c>
      <c r="G27" s="234">
        <f t="shared" si="1"/>
        <v>13178240502</v>
      </c>
      <c r="H27" s="159">
        <f t="shared" si="0"/>
        <v>0.11417807917939456</v>
      </c>
    </row>
    <row r="28" spans="2:9" ht="43.5" customHeight="1">
      <c r="B28" s="725"/>
      <c r="C28" s="157">
        <v>26</v>
      </c>
      <c r="D28" s="166" t="s">
        <v>141</v>
      </c>
      <c r="E28" s="234">
        <f>'صورت تغییرات در وضعیت مالی'!$G$35</f>
        <v>-128596546684</v>
      </c>
      <c r="F28" s="234">
        <f>'صورت تغییرات در وضعیت مالی'!$K$35</f>
        <v>-115418306182</v>
      </c>
      <c r="G28" s="234">
        <f t="shared" si="1"/>
        <v>-13178240502</v>
      </c>
      <c r="H28" s="159">
        <f t="shared" si="0"/>
        <v>0.11417807917939456</v>
      </c>
    </row>
    <row r="29" spans="2:9" ht="43.5" customHeight="1">
      <c r="B29" s="725"/>
      <c r="C29" s="160">
        <v>27</v>
      </c>
      <c r="D29" s="161" t="s">
        <v>1179</v>
      </c>
      <c r="E29" s="239">
        <f>SUM(E25:E28)</f>
        <v>564167254551</v>
      </c>
      <c r="F29" s="239">
        <f>SUM(F25:F28)</f>
        <v>367534329427</v>
      </c>
      <c r="G29" s="239">
        <f>E29-F29</f>
        <v>196632925124</v>
      </c>
      <c r="H29" s="162">
        <f t="shared" si="0"/>
        <v>0.53500560187277801</v>
      </c>
    </row>
    <row r="30" spans="2:9" ht="43.5" customHeight="1">
      <c r="B30" s="725" t="s">
        <v>429</v>
      </c>
      <c r="C30" s="157">
        <v>28</v>
      </c>
      <c r="D30" s="158" t="s">
        <v>195</v>
      </c>
      <c r="E30" s="234">
        <f>'صورت تغییرات در ارزش خالص'!E13</f>
        <v>3873464032667</v>
      </c>
      <c r="F30" s="234">
        <f>'صورت تغییرات در ارزش خالص'!I13</f>
        <v>3967612426797</v>
      </c>
      <c r="G30" s="234">
        <f t="shared" si="1"/>
        <v>-94148394130</v>
      </c>
      <c r="H30" s="159">
        <f t="shared" si="0"/>
        <v>-2.3729231588783165E-2</v>
      </c>
    </row>
    <row r="31" spans="2:9" ht="43.5" customHeight="1">
      <c r="B31" s="725"/>
      <c r="C31" s="157">
        <v>29</v>
      </c>
      <c r="D31" s="158" t="s">
        <v>122</v>
      </c>
      <c r="E31" s="234">
        <f>'صورت تغییرات در ارزش خالص'!E14</f>
        <v>45305960152</v>
      </c>
      <c r="F31" s="234">
        <f>'صورت تغییرات در ارزش خالص'!I14</f>
        <v>-529131969678</v>
      </c>
      <c r="G31" s="234">
        <f t="shared" si="1"/>
        <v>574437929830</v>
      </c>
      <c r="H31" s="159">
        <f t="shared" si="0"/>
        <v>-1.0856231767276709</v>
      </c>
    </row>
    <row r="32" spans="2:9" ht="43.5" customHeight="1">
      <c r="B32" s="725"/>
      <c r="C32" s="160">
        <v>30</v>
      </c>
      <c r="D32" s="161" t="s">
        <v>462</v>
      </c>
      <c r="E32" s="239">
        <f>E29</f>
        <v>564167254551</v>
      </c>
      <c r="F32" s="239">
        <f>F29</f>
        <v>367534329427</v>
      </c>
      <c r="G32" s="239">
        <f t="shared" si="1"/>
        <v>196632925124</v>
      </c>
      <c r="H32" s="162">
        <f t="shared" si="0"/>
        <v>0.53500560187277801</v>
      </c>
    </row>
    <row r="33" spans="2:8" ht="43.5" customHeight="1">
      <c r="B33" s="725"/>
      <c r="C33" s="157">
        <v>31</v>
      </c>
      <c r="D33" s="158" t="s">
        <v>430</v>
      </c>
      <c r="E33" s="234">
        <f>'صورت تغییرات در ارزش خالص'!G18</f>
        <v>100953221045</v>
      </c>
      <c r="F33" s="234">
        <f>'صورت تغییرات در ارزش خالص'!K18</f>
        <v>112755206273</v>
      </c>
      <c r="G33" s="234">
        <f t="shared" si="1"/>
        <v>-11801985228</v>
      </c>
      <c r="H33" s="159">
        <f t="shared" si="0"/>
        <v>-0.10466909349999624</v>
      </c>
    </row>
    <row r="34" spans="2:8" ht="43.5" customHeight="1">
      <c r="B34" s="725"/>
      <c r="C34" s="157">
        <v>32</v>
      </c>
      <c r="D34" s="158" t="s">
        <v>144</v>
      </c>
      <c r="E34" s="234">
        <f>'صورت تغییرات در ارزش خالص'!$G$9</f>
        <v>1517479060199</v>
      </c>
      <c r="F34" s="234">
        <f>'صورت تغییرات در ارزش خالص'!$K$9</f>
        <v>1618432281244</v>
      </c>
      <c r="G34" s="234">
        <f t="shared" si="1"/>
        <v>-100953221045</v>
      </c>
      <c r="H34" s="159">
        <f t="shared" si="0"/>
        <v>-6.2377167222222488E-2</v>
      </c>
    </row>
    <row r="35" spans="2:8" ht="43.5" customHeight="1">
      <c r="B35" s="725"/>
      <c r="C35" s="160">
        <v>33</v>
      </c>
      <c r="D35" s="161" t="s">
        <v>1180</v>
      </c>
      <c r="E35" s="239">
        <f>SUM(E30:E34)</f>
        <v>6101369528614</v>
      </c>
      <c r="F35" s="239">
        <f>SUM(F30:F34)</f>
        <v>5537202274063</v>
      </c>
      <c r="G35" s="239">
        <f t="shared" si="1"/>
        <v>564167254551</v>
      </c>
      <c r="H35" s="162">
        <f t="shared" si="0"/>
        <v>0.101886697763171</v>
      </c>
    </row>
    <row r="36" spans="2:8" ht="43.5" customHeight="1">
      <c r="B36" s="164"/>
      <c r="C36" s="223">
        <v>34</v>
      </c>
      <c r="D36" s="226" t="s">
        <v>1181</v>
      </c>
      <c r="E36" s="240">
        <f>E24+E35</f>
        <v>19224563038250</v>
      </c>
      <c r="F36" s="240">
        <f>F24+F35</f>
        <v>16689035579175</v>
      </c>
      <c r="G36" s="240">
        <f t="shared" si="1"/>
        <v>2535527459075</v>
      </c>
      <c r="H36" s="225">
        <f t="shared" si="0"/>
        <v>0.15192774004502066</v>
      </c>
    </row>
    <row r="37" spans="2:8" ht="43.5" customHeight="1">
      <c r="B37" s="720"/>
      <c r="C37" s="157">
        <v>35</v>
      </c>
      <c r="D37" s="167" t="s">
        <v>452</v>
      </c>
      <c r="E37" s="234">
        <v>2763952153209</v>
      </c>
      <c r="F37" s="234">
        <v>1375917187987</v>
      </c>
      <c r="G37" s="234">
        <f t="shared" si="1"/>
        <v>1388034965222</v>
      </c>
      <c r="H37" s="159">
        <f t="shared" si="0"/>
        <v>1.0088070541895975</v>
      </c>
    </row>
    <row r="38" spans="2:8" ht="43.5" customHeight="1">
      <c r="B38" s="720"/>
      <c r="C38" s="157">
        <v>36</v>
      </c>
      <c r="D38" s="167" t="s">
        <v>431</v>
      </c>
      <c r="E38" s="234">
        <f>'6-7'!I26+'6-7'!I27</f>
        <v>697755443618</v>
      </c>
      <c r="F38" s="234">
        <f>'6-7'!K26+'6-7'!K27</f>
        <v>630287014948</v>
      </c>
      <c r="G38" s="234">
        <f t="shared" si="1"/>
        <v>67468428670</v>
      </c>
      <c r="H38" s="159">
        <f t="shared" si="0"/>
        <v>0.10704397690243751</v>
      </c>
    </row>
    <row r="39" spans="2:8" ht="43.5" customHeight="1">
      <c r="B39" s="720"/>
      <c r="C39" s="157">
        <v>37</v>
      </c>
      <c r="D39" s="167" t="s">
        <v>432</v>
      </c>
      <c r="E39" s="234">
        <v>4737935063419</v>
      </c>
      <c r="F39" s="234">
        <v>3929462062062</v>
      </c>
      <c r="G39" s="234">
        <f t="shared" si="1"/>
        <v>808473001357</v>
      </c>
      <c r="H39" s="159">
        <f t="shared" si="0"/>
        <v>0.20574648351045557</v>
      </c>
    </row>
    <row r="40" spans="2:8" ht="43.5" customHeight="1">
      <c r="B40" s="720"/>
      <c r="C40" s="157">
        <v>38</v>
      </c>
      <c r="D40" s="167" t="s">
        <v>457</v>
      </c>
      <c r="E40" s="234">
        <f>'صورت تغییرات در وضعیت مالی'!E10</f>
        <v>18246491000</v>
      </c>
      <c r="F40" s="234">
        <f>'صورت تغییرات در وضعیت مالی'!I10</f>
        <v>26489214991</v>
      </c>
      <c r="G40" s="234">
        <f t="shared" si="1"/>
        <v>-8242723991</v>
      </c>
      <c r="H40" s="159">
        <f t="shared" si="0"/>
        <v>-0.31117282991589429</v>
      </c>
    </row>
    <row r="41" spans="2:8" ht="43.5" customHeight="1">
      <c r="B41" s="720"/>
      <c r="C41" s="157">
        <v>39</v>
      </c>
      <c r="D41" s="168" t="s">
        <v>433</v>
      </c>
      <c r="E41" s="234">
        <f>'صورت تغییرات در وضعیت مالی'!E19</f>
        <v>7445547610249</v>
      </c>
      <c r="F41" s="234">
        <f>'صورت تغییرات در وضعیت مالی'!I19</f>
        <v>5966297493465</v>
      </c>
      <c r="G41" s="234">
        <f t="shared" si="1"/>
        <v>1479250116784</v>
      </c>
      <c r="H41" s="159">
        <f t="shared" si="0"/>
        <v>0.2479343543301773</v>
      </c>
    </row>
    <row r="42" spans="2:8" ht="43.5" customHeight="1">
      <c r="B42" s="720"/>
      <c r="C42" s="157">
        <v>40</v>
      </c>
      <c r="D42" s="167" t="s">
        <v>434</v>
      </c>
      <c r="E42" s="169">
        <f>'1-2'!F24</f>
        <v>4146</v>
      </c>
      <c r="F42" s="169">
        <f>'1-2'!H24</f>
        <v>4237</v>
      </c>
      <c r="G42" s="191">
        <f t="shared" si="1"/>
        <v>-91</v>
      </c>
      <c r="H42" s="159">
        <f t="shared" si="0"/>
        <v>-2.1477460467311776E-2</v>
      </c>
    </row>
    <row r="43" spans="2:8" ht="43.5" customHeight="1" thickBot="1">
      <c r="B43" s="720"/>
      <c r="C43" s="157">
        <v>41</v>
      </c>
      <c r="D43" s="170" t="s">
        <v>435</v>
      </c>
      <c r="E43" s="171">
        <f>E41/(E42*12)</f>
        <v>149653232.23687491</v>
      </c>
      <c r="F43" s="171">
        <f>F41/(F42*12)</f>
        <v>117345163.50926363</v>
      </c>
      <c r="G43" s="172">
        <f t="shared" si="1"/>
        <v>32308068.727611274</v>
      </c>
      <c r="H43" s="173">
        <f t="shared" si="0"/>
        <v>0.27532509872092653</v>
      </c>
    </row>
    <row r="44" spans="2:8" ht="4.5" customHeight="1" thickBot="1"/>
    <row r="45" spans="2:8" ht="43.5" customHeight="1" thickBot="1">
      <c r="B45" s="174" t="s">
        <v>436</v>
      </c>
      <c r="C45" s="175" t="s">
        <v>420</v>
      </c>
      <c r="D45" s="176" t="s">
        <v>437</v>
      </c>
      <c r="E45" s="176" t="s">
        <v>438</v>
      </c>
      <c r="F45" s="176" t="s">
        <v>470</v>
      </c>
      <c r="G45" s="176" t="s">
        <v>471</v>
      </c>
      <c r="H45" s="177" t="s">
        <v>472</v>
      </c>
    </row>
    <row r="46" spans="2:8" ht="69.95" customHeight="1">
      <c r="B46" s="721" t="s">
        <v>439</v>
      </c>
      <c r="C46" s="178">
        <v>1</v>
      </c>
      <c r="D46" s="179" t="s">
        <v>440</v>
      </c>
      <c r="E46" s="236" t="s">
        <v>441</v>
      </c>
      <c r="F46" s="180">
        <f>E9/E19</f>
        <v>0.867213384578844</v>
      </c>
      <c r="G46" s="180">
        <f>F9/F19</f>
        <v>0.70963501565749576</v>
      </c>
      <c r="H46" s="181">
        <v>1.36</v>
      </c>
    </row>
    <row r="47" spans="2:8" ht="69.95" customHeight="1">
      <c r="B47" s="722"/>
      <c r="C47" s="178">
        <v>2</v>
      </c>
      <c r="D47" s="179" t="s">
        <v>442</v>
      </c>
      <c r="E47" s="236" t="s">
        <v>443</v>
      </c>
      <c r="F47" s="180">
        <f>(E4+E5+E6)/E19</f>
        <v>0.73373770553527373</v>
      </c>
      <c r="G47" s="180">
        <f>(F4+F5+F6)/F19</f>
        <v>0.5441080446381853</v>
      </c>
      <c r="H47" s="181">
        <v>1.24</v>
      </c>
    </row>
    <row r="48" spans="2:8" ht="69.95" customHeight="1">
      <c r="B48" s="722"/>
      <c r="C48" s="178">
        <v>3</v>
      </c>
      <c r="D48" s="179" t="s">
        <v>444</v>
      </c>
      <c r="E48" s="236" t="s">
        <v>445</v>
      </c>
      <c r="F48" s="180">
        <f>E24/E13</f>
        <v>0.68262636105307262</v>
      </c>
      <c r="G48" s="180">
        <f>F24/F13</f>
        <v>0.66821316619562721</v>
      </c>
      <c r="H48" s="181">
        <v>0.39</v>
      </c>
    </row>
    <row r="49" spans="2:8" ht="69.95" customHeight="1">
      <c r="B49" s="722"/>
      <c r="C49" s="178">
        <v>4</v>
      </c>
      <c r="D49" s="179" t="s">
        <v>458</v>
      </c>
      <c r="E49" s="236" t="s">
        <v>446</v>
      </c>
      <c r="F49" s="180">
        <f>E40/E13</f>
        <v>9.4912383515276851E-4</v>
      </c>
      <c r="G49" s="180">
        <f>F40/F13</f>
        <v>1.5872226328077286E-3</v>
      </c>
      <c r="H49" s="181">
        <v>0.15</v>
      </c>
    </row>
    <row r="50" spans="2:8" ht="69.95" customHeight="1">
      <c r="B50" s="722"/>
      <c r="C50" s="178">
        <v>5</v>
      </c>
      <c r="D50" s="179" t="s">
        <v>459</v>
      </c>
      <c r="E50" s="236" t="s">
        <v>447</v>
      </c>
      <c r="F50" s="180">
        <f>E40/E9</f>
        <v>3.3129814260657786E-3</v>
      </c>
      <c r="G50" s="180">
        <f>F40/F9</f>
        <v>7.0942299157604211E-3</v>
      </c>
      <c r="H50" s="181">
        <v>0.49</v>
      </c>
    </row>
    <row r="51" spans="2:8" ht="69.95" customHeight="1">
      <c r="B51" s="722"/>
      <c r="C51" s="178">
        <v>6</v>
      </c>
      <c r="D51" s="179" t="s">
        <v>460</v>
      </c>
      <c r="E51" s="236" t="s">
        <v>448</v>
      </c>
      <c r="F51" s="180">
        <f>'صورت تغییرات در وضعیت مالی'!E10/'صورت وضعیت مالی'!E18</f>
        <v>1.3334951897270881E-3</v>
      </c>
      <c r="G51" s="180">
        <f>F40/F11</f>
        <v>2.0500235246384592E-3</v>
      </c>
      <c r="H51" s="181">
        <v>0.22</v>
      </c>
    </row>
    <row r="52" spans="2:8" ht="50.1" customHeight="1">
      <c r="B52" s="722"/>
      <c r="C52" s="178">
        <v>7</v>
      </c>
      <c r="D52" s="179" t="s">
        <v>461</v>
      </c>
      <c r="E52" s="236" t="s">
        <v>449</v>
      </c>
      <c r="F52" s="180">
        <f>E40/E25</f>
        <v>9.2722460706393616E-4</v>
      </c>
      <c r="G52" s="180">
        <f>F40/F25</f>
        <v>1.8363912872157845E-3</v>
      </c>
      <c r="H52" s="181">
        <v>0.24</v>
      </c>
    </row>
    <row r="53" spans="2:8" ht="50.1" customHeight="1" thickBot="1">
      <c r="B53" s="723"/>
      <c r="C53" s="182">
        <v>8</v>
      </c>
      <c r="D53" s="183" t="s">
        <v>450</v>
      </c>
      <c r="E53" s="237" t="s">
        <v>451</v>
      </c>
      <c r="F53" s="184">
        <f>E40/E42</f>
        <v>4400986.7342016399</v>
      </c>
      <c r="G53" s="184">
        <f>F40/F42</f>
        <v>6251879.8657068685</v>
      </c>
      <c r="H53" s="185">
        <v>249.61220842764558</v>
      </c>
    </row>
    <row r="54" spans="2:8" ht="15.75" customHeight="1"/>
    <row r="55" spans="2:8" ht="18" customHeight="1"/>
    <row r="71" ht="25.5" customHeight="1"/>
    <row r="72" ht="25.5" customHeight="1"/>
    <row r="89" ht="43.5" customHeight="1"/>
    <row r="90" ht="43.5" customHeight="1"/>
    <row r="91" ht="43.5" customHeight="1"/>
    <row r="92" ht="43.5" customHeight="1"/>
    <row r="93" ht="43.5" customHeight="1"/>
    <row r="94" ht="43.5" customHeight="1"/>
    <row r="95" ht="43.5" customHeight="1"/>
    <row r="96" ht="43.5" customHeight="1"/>
    <row r="97" ht="43.5" customHeight="1"/>
    <row r="98" ht="43.5" customHeight="1"/>
    <row r="99" ht="43.5" customHeight="1"/>
    <row r="100" ht="43.5" customHeight="1"/>
    <row r="101" ht="43.5" customHeight="1"/>
    <row r="102" ht="43.5" customHeight="1"/>
    <row r="103" ht="43.5" customHeight="1"/>
    <row r="104" ht="43.5" customHeight="1"/>
    <row r="105" ht="43.5" customHeight="1"/>
    <row r="106" ht="43.5" customHeight="1"/>
    <row r="107" ht="43.5" customHeight="1"/>
    <row r="108" ht="43.5" customHeight="1"/>
    <row r="109" ht="43.5" customHeight="1"/>
    <row r="110" ht="43.5" customHeight="1"/>
    <row r="111" ht="43.5" customHeight="1"/>
    <row r="112" ht="43.5" customHeight="1"/>
    <row r="113" ht="43.5" customHeight="1"/>
    <row r="114" ht="43.5" customHeight="1"/>
    <row r="115" ht="43.5" customHeight="1"/>
    <row r="116" ht="43.5" customHeight="1"/>
    <row r="117" ht="43.5" customHeight="1"/>
    <row r="118" ht="43.5" customHeight="1"/>
    <row r="119" ht="43.5" customHeight="1"/>
    <row r="120" ht="43.5" customHeight="1"/>
    <row r="121" ht="43.5" customHeight="1"/>
    <row r="122" ht="43.5" customHeight="1"/>
    <row r="123" ht="43.5" customHeight="1"/>
    <row r="124" ht="43.5" customHeight="1"/>
    <row r="125" ht="43.5" customHeight="1"/>
    <row r="126" ht="43.5" customHeight="1"/>
    <row r="127" ht="43.5" customHeight="1"/>
    <row r="128" ht="43.5" customHeight="1"/>
    <row r="129" ht="43.5" customHeight="1"/>
    <row r="130" ht="43.5" customHeight="1"/>
    <row r="131" ht="43.5" customHeight="1"/>
    <row r="132" ht="43.5" customHeight="1"/>
    <row r="133" ht="43.5"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82" ht="42.75" customHeight="1"/>
    <row r="183" ht="26.25" customHeight="1"/>
    <row r="184" ht="25.5" customHeight="1"/>
    <row r="185" ht="25.5" customHeight="1"/>
    <row r="186" ht="40.5" customHeight="1"/>
    <row r="187" ht="40.5" customHeight="1"/>
    <row r="188" ht="40.5" customHeight="1"/>
    <row r="189" ht="40.5" customHeight="1"/>
    <row r="190" ht="40.5" customHeight="1"/>
    <row r="191" ht="40.5" customHeight="1"/>
    <row r="192" ht="40.5" customHeight="1"/>
    <row r="193" ht="40.5" customHeight="1"/>
    <row r="194" ht="40.5" customHeight="1"/>
    <row r="195" ht="40.5" customHeight="1"/>
    <row r="196" ht="40.5" customHeight="1"/>
    <row r="197" ht="40.5" customHeight="1"/>
    <row r="198" ht="40.5" customHeight="1"/>
    <row r="199" ht="40.5" customHeight="1"/>
    <row r="200" ht="40.5" customHeight="1"/>
    <row r="201" ht="40.5" customHeight="1"/>
    <row r="202" ht="40.5" customHeight="1"/>
    <row r="203" ht="40.5" customHeight="1"/>
    <row r="204" ht="40.5" customHeight="1"/>
    <row r="205" ht="40.5" customHeight="1"/>
    <row r="206" ht="40.5" customHeight="1"/>
    <row r="207" ht="40.5" customHeight="1"/>
    <row r="208" ht="40.5" customHeight="1"/>
    <row r="209" ht="40.5" customHeight="1"/>
    <row r="210" ht="40.5" customHeight="1"/>
    <row r="211" ht="40.5" customHeight="1"/>
    <row r="212" ht="40.5" customHeight="1"/>
    <row r="213" ht="40.5" customHeight="1"/>
    <row r="214" ht="40.5" customHeight="1"/>
    <row r="215" ht="40.5" customHeight="1"/>
    <row r="216" ht="40.5" customHeight="1"/>
    <row r="217" ht="40.5" customHeight="1"/>
    <row r="218" ht="40.5" customHeight="1"/>
    <row r="219" ht="40.5" customHeight="1"/>
    <row r="220" ht="40.5" customHeight="1"/>
    <row r="221" ht="40.5" customHeight="1"/>
    <row r="222" ht="40.5" customHeight="1"/>
    <row r="223" ht="40.5" customHeight="1"/>
    <row r="224" ht="40.5" customHeight="1"/>
    <row r="225" ht="40.5" customHeight="1"/>
    <row r="226" ht="40.5" customHeight="1"/>
    <row r="227" ht="40.5" customHeight="1"/>
    <row r="228" ht="38.25" customHeight="1"/>
  </sheetData>
  <mergeCells count="14">
    <mergeCell ref="B37:B43"/>
    <mergeCell ref="B46:B53"/>
    <mergeCell ref="B4:B9"/>
    <mergeCell ref="B10:B12"/>
    <mergeCell ref="B14:B19"/>
    <mergeCell ref="B20:B23"/>
    <mergeCell ref="B25:B29"/>
    <mergeCell ref="B30:B35"/>
    <mergeCell ref="B1:D1"/>
    <mergeCell ref="G1:H1"/>
    <mergeCell ref="B2:B3"/>
    <mergeCell ref="C2:C3"/>
    <mergeCell ref="D2:D3"/>
    <mergeCell ref="G2:H2"/>
  </mergeCells>
  <printOptions horizontalCentered="1" verticalCentered="1"/>
  <pageMargins left="0.25" right="0.25" top="0.75" bottom="0.75" header="0.3" footer="0.3"/>
  <pageSetup paperSize="9" scale="60" orientation="landscape" r:id="rId1"/>
  <headerFooter>
    <oddHeader>&amp;L&amp;14ارقام به میلیون ريال&amp;C&amp;"B Zar,Bold"&amp;20تراز مالی دانشگاهها در سالهای 93، 94 و 95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rightToLeft="1" view="pageLayout" topLeftCell="A16" zoomScaleNormal="100" zoomScaleSheetLayoutView="100" workbookViewId="0">
      <selection sqref="A1:XFD1048576"/>
    </sheetView>
  </sheetViews>
  <sheetFormatPr defaultColWidth="9" defaultRowHeight="19.5"/>
  <cols>
    <col min="1" max="1" width="2.7109375" style="5" customWidth="1"/>
    <col min="2" max="2" width="47.42578125" style="19" customWidth="1"/>
    <col min="3" max="3" width="2.140625" style="5" customWidth="1"/>
    <col min="4" max="4" width="12.5703125" style="14" customWidth="1"/>
    <col min="5" max="5" width="2.140625" style="5" customWidth="1"/>
    <col min="6" max="6" width="14.42578125" style="15" customWidth="1"/>
    <col min="7" max="7" width="2.140625" style="15" customWidth="1"/>
    <col min="8" max="8" width="19" style="15" customWidth="1"/>
    <col min="9" max="9" width="3.140625" style="5" customWidth="1"/>
    <col min="10" max="10" width="28.140625" style="5" customWidth="1"/>
    <col min="11" max="11" width="17.140625" style="5" customWidth="1"/>
    <col min="12" max="16384" width="9" style="5"/>
  </cols>
  <sheetData>
    <row r="1" spans="1:12" ht="20.25">
      <c r="A1" s="765" t="str">
        <f>مفروضات!$C$1</f>
        <v>دانشگاه علوم پزشکی و خدمات بهداشتی درمانی سمنان</v>
      </c>
      <c r="B1" s="766"/>
      <c r="C1" s="766"/>
      <c r="D1" s="766"/>
      <c r="E1" s="766"/>
      <c r="F1" s="766"/>
      <c r="G1" s="766"/>
      <c r="H1" s="766"/>
      <c r="I1" s="4"/>
      <c r="J1" s="4"/>
      <c r="K1" s="4"/>
      <c r="L1" s="4"/>
    </row>
    <row r="2" spans="1:12" s="6" customFormat="1">
      <c r="B2" s="767" t="s">
        <v>33</v>
      </c>
      <c r="C2" s="767"/>
      <c r="D2" s="767"/>
      <c r="E2" s="767"/>
      <c r="F2" s="767"/>
      <c r="G2" s="767"/>
      <c r="H2" s="767"/>
    </row>
    <row r="3" spans="1:12" ht="20.25">
      <c r="A3" s="6"/>
      <c r="B3" s="767" t="str">
        <f>مفروضات!$C$7</f>
        <v>سال مالي منتهي به 29 اسفند ماه 1402</v>
      </c>
      <c r="C3" s="767"/>
      <c r="D3" s="767"/>
      <c r="E3" s="767"/>
      <c r="F3" s="767"/>
      <c r="G3" s="767"/>
      <c r="H3" s="767"/>
      <c r="I3" s="6"/>
      <c r="J3" s="6"/>
      <c r="K3" s="6"/>
      <c r="L3" s="6"/>
    </row>
    <row r="4" spans="1:12" ht="20.25">
      <c r="A4" s="6"/>
      <c r="B4" s="768" t="s">
        <v>224</v>
      </c>
      <c r="C4" s="768"/>
      <c r="D4" s="768"/>
      <c r="E4" s="768"/>
      <c r="F4" s="768"/>
      <c r="G4" s="768"/>
      <c r="H4" s="768"/>
      <c r="I4" s="6"/>
      <c r="J4" s="6"/>
      <c r="K4" s="6"/>
      <c r="L4" s="6"/>
    </row>
    <row r="5" spans="1:12" ht="102" customHeight="1">
      <c r="A5" s="6"/>
      <c r="B5" s="774" t="s">
        <v>225</v>
      </c>
      <c r="C5" s="774"/>
      <c r="D5" s="774"/>
      <c r="E5" s="774"/>
      <c r="F5" s="774"/>
      <c r="G5" s="774"/>
      <c r="H5" s="774"/>
      <c r="I5" s="6"/>
      <c r="J5" s="6"/>
      <c r="K5" s="6"/>
      <c r="L5" s="6"/>
    </row>
    <row r="6" spans="1:12" ht="21">
      <c r="A6" s="6"/>
      <c r="B6" s="774" t="s">
        <v>659</v>
      </c>
      <c r="C6" s="774"/>
      <c r="D6" s="774"/>
      <c r="E6" s="774"/>
      <c r="F6" s="774"/>
      <c r="G6" s="774"/>
      <c r="H6" s="774"/>
      <c r="I6" s="6"/>
      <c r="J6" s="6"/>
      <c r="K6" s="6"/>
      <c r="L6" s="6"/>
    </row>
    <row r="7" spans="1:12" ht="30" customHeight="1">
      <c r="B7" s="768" t="s">
        <v>226</v>
      </c>
      <c r="C7" s="768"/>
      <c r="D7" s="768"/>
      <c r="E7" s="768"/>
      <c r="F7" s="768"/>
      <c r="G7" s="768"/>
      <c r="H7" s="768"/>
    </row>
    <row r="8" spans="1:12" ht="82.5" customHeight="1">
      <c r="B8" s="774" t="s">
        <v>394</v>
      </c>
      <c r="C8" s="774"/>
      <c r="D8" s="774"/>
      <c r="E8" s="774"/>
      <c r="F8" s="774"/>
      <c r="G8" s="774"/>
      <c r="H8" s="774"/>
    </row>
    <row r="9" spans="1:12" ht="94.5" customHeight="1">
      <c r="B9" s="774" t="s">
        <v>397</v>
      </c>
      <c r="C9" s="774"/>
      <c r="D9" s="774"/>
      <c r="E9" s="774"/>
      <c r="F9" s="774"/>
      <c r="G9" s="774"/>
      <c r="H9" s="774"/>
    </row>
    <row r="10" spans="1:12" ht="75" customHeight="1">
      <c r="B10" s="774" t="s">
        <v>227</v>
      </c>
      <c r="C10" s="774"/>
      <c r="D10" s="774"/>
      <c r="E10" s="774"/>
      <c r="F10" s="774"/>
      <c r="G10" s="774"/>
      <c r="H10" s="774"/>
    </row>
    <row r="11" spans="1:12" ht="30" customHeight="1">
      <c r="B11" s="782" t="s">
        <v>228</v>
      </c>
      <c r="C11" s="782"/>
      <c r="D11" s="782"/>
      <c r="E11" s="782"/>
      <c r="F11" s="782"/>
      <c r="G11" s="782"/>
      <c r="H11" s="782"/>
    </row>
    <row r="12" spans="1:12" ht="90" customHeight="1">
      <c r="B12" s="774" t="s">
        <v>395</v>
      </c>
      <c r="C12" s="774"/>
      <c r="D12" s="774"/>
      <c r="E12" s="774"/>
      <c r="F12" s="774"/>
      <c r="G12" s="774"/>
      <c r="H12" s="774"/>
    </row>
    <row r="13" spans="1:12" ht="82.5" customHeight="1">
      <c r="B13" s="774" t="s">
        <v>396</v>
      </c>
      <c r="C13" s="774"/>
      <c r="D13" s="774"/>
      <c r="E13" s="774"/>
      <c r="F13" s="774"/>
      <c r="G13" s="774"/>
      <c r="H13" s="774"/>
    </row>
    <row r="14" spans="1:12" ht="29.25" customHeight="1">
      <c r="B14" s="768" t="s">
        <v>229</v>
      </c>
      <c r="C14" s="768"/>
      <c r="D14" s="768"/>
      <c r="E14" s="768"/>
      <c r="F14" s="768"/>
      <c r="G14" s="768"/>
      <c r="H14" s="768"/>
    </row>
    <row r="15" spans="1:12" ht="69" customHeight="1">
      <c r="B15" s="776" t="s">
        <v>409</v>
      </c>
      <c r="C15" s="777"/>
      <c r="D15" s="777"/>
      <c r="E15" s="777"/>
      <c r="F15" s="777"/>
      <c r="G15" s="777"/>
      <c r="H15" s="777"/>
    </row>
    <row r="16" spans="1:12" ht="93.75" customHeight="1">
      <c r="B16" s="778" t="s">
        <v>410</v>
      </c>
      <c r="C16" s="777"/>
      <c r="D16" s="777"/>
      <c r="E16" s="777"/>
      <c r="F16" s="777"/>
      <c r="G16" s="777"/>
      <c r="H16" s="777"/>
    </row>
    <row r="17" spans="2:8" ht="69.75" customHeight="1">
      <c r="B17" s="779" t="s">
        <v>411</v>
      </c>
      <c r="C17" s="780"/>
      <c r="D17" s="780"/>
      <c r="E17" s="780"/>
      <c r="F17" s="780"/>
      <c r="G17" s="780"/>
      <c r="H17" s="780"/>
    </row>
    <row r="18" spans="2:8" ht="63" customHeight="1">
      <c r="B18" s="778" t="s">
        <v>412</v>
      </c>
      <c r="C18" s="777"/>
      <c r="D18" s="777"/>
      <c r="E18" s="777"/>
      <c r="F18" s="777"/>
      <c r="G18" s="777"/>
      <c r="H18" s="777"/>
    </row>
    <row r="19" spans="2:8" ht="30" customHeight="1">
      <c r="B19" s="768" t="s">
        <v>230</v>
      </c>
      <c r="C19" s="768"/>
      <c r="D19" s="768"/>
      <c r="E19" s="768"/>
      <c r="F19" s="768"/>
      <c r="G19" s="768"/>
      <c r="H19" s="768"/>
    </row>
    <row r="20" spans="2:8" ht="51" customHeight="1">
      <c r="B20" s="781" t="s">
        <v>316</v>
      </c>
      <c r="C20" s="781"/>
      <c r="D20" s="781"/>
      <c r="E20" s="781"/>
      <c r="F20" s="781"/>
      <c r="G20" s="781"/>
      <c r="H20" s="781"/>
    </row>
    <row r="21" spans="2:8" ht="39" customHeight="1">
      <c r="B21" s="772" t="s">
        <v>315</v>
      </c>
      <c r="C21" s="772"/>
      <c r="D21" s="772"/>
      <c r="E21" s="772"/>
      <c r="F21" s="772"/>
      <c r="G21" s="772"/>
      <c r="H21" s="772"/>
    </row>
  </sheetData>
  <mergeCells count="21">
    <mergeCell ref="B21:H21"/>
    <mergeCell ref="B5:H5"/>
    <mergeCell ref="B7:H7"/>
    <mergeCell ref="A1:H1"/>
    <mergeCell ref="B2:H2"/>
    <mergeCell ref="B3:H3"/>
    <mergeCell ref="B4:H4"/>
    <mergeCell ref="B6:H6"/>
    <mergeCell ref="B20:H20"/>
    <mergeCell ref="B8:H8"/>
    <mergeCell ref="B9:H9"/>
    <mergeCell ref="B10:H10"/>
    <mergeCell ref="B11:H11"/>
    <mergeCell ref="B12:H12"/>
    <mergeCell ref="B13:H13"/>
    <mergeCell ref="B14:H14"/>
    <mergeCell ref="B19:H19"/>
    <mergeCell ref="B15:H15"/>
    <mergeCell ref="B16:H16"/>
    <mergeCell ref="B17:H17"/>
    <mergeCell ref="B18:H18"/>
  </mergeCells>
  <printOptions horizontalCentered="1"/>
  <pageMargins left="3.937007874015748E-2" right="3.937007874015748E-2" top="3.937007874015748E-2" bottom="3.937007874015748E-2" header="3.937007874015748E-2" footer="3.937007874015748E-2"/>
  <pageSetup paperSize="9" scale="72" firstPageNumber="10" orientation="portrait" useFirstPageNumber="1" r:id="rId1"/>
  <headerFooter>
    <oddFooter>&amp;C&amp;"B Nazanin,Regular"&amp;P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rightToLeft="1" view="pageLayout" zoomScaleNormal="100" zoomScaleSheetLayoutView="100" workbookViewId="0">
      <selection sqref="A1:XFD1048576"/>
    </sheetView>
  </sheetViews>
  <sheetFormatPr defaultColWidth="9" defaultRowHeight="19.5"/>
  <cols>
    <col min="1" max="1" width="2.7109375" style="5" customWidth="1"/>
    <col min="2" max="2" width="47.42578125" style="19" customWidth="1"/>
    <col min="3" max="3" width="2.140625" style="5" customWidth="1"/>
    <col min="4" max="4" width="12.5703125" style="14" customWidth="1"/>
    <col min="5" max="5" width="2.140625" style="5" customWidth="1"/>
    <col min="6" max="6" width="14.42578125" style="15" customWidth="1"/>
    <col min="7" max="7" width="2.140625" style="15" customWidth="1"/>
    <col min="8" max="8" width="18.7109375" style="15" customWidth="1"/>
    <col min="9" max="9" width="3.140625" style="5" customWidth="1"/>
    <col min="10" max="10" width="28.140625" style="5" customWidth="1"/>
    <col min="11" max="11" width="17.140625" style="5" customWidth="1"/>
    <col min="12" max="16384" width="9" style="5"/>
  </cols>
  <sheetData>
    <row r="1" spans="1:12" ht="20.25">
      <c r="A1" s="765" t="str">
        <f>مفروضات!$C$1</f>
        <v>دانشگاه علوم پزشکی و خدمات بهداشتی درمانی سمنان</v>
      </c>
      <c r="B1" s="766"/>
      <c r="C1" s="766"/>
      <c r="D1" s="766"/>
      <c r="E1" s="766"/>
      <c r="F1" s="766"/>
      <c r="G1" s="766"/>
      <c r="H1" s="766"/>
      <c r="I1" s="4"/>
      <c r="J1" s="4"/>
      <c r="K1" s="4"/>
      <c r="L1" s="4"/>
    </row>
    <row r="2" spans="1:12" s="6" customFormat="1">
      <c r="B2" s="767" t="s">
        <v>33</v>
      </c>
      <c r="C2" s="767"/>
      <c r="D2" s="767"/>
      <c r="E2" s="767"/>
      <c r="F2" s="767"/>
      <c r="G2" s="767"/>
      <c r="H2" s="767"/>
    </row>
    <row r="3" spans="1:12" ht="20.25">
      <c r="A3" s="6"/>
      <c r="B3" s="767" t="str">
        <f>مفروضات!$C$7</f>
        <v>سال مالي منتهي به 29 اسفند ماه 1402</v>
      </c>
      <c r="C3" s="767"/>
      <c r="D3" s="767"/>
      <c r="E3" s="767"/>
      <c r="F3" s="767"/>
      <c r="G3" s="767"/>
      <c r="H3" s="767"/>
      <c r="I3" s="6"/>
      <c r="J3" s="6"/>
      <c r="K3" s="6"/>
      <c r="L3" s="6"/>
    </row>
    <row r="4" spans="1:12" ht="24" customHeight="1">
      <c r="B4" s="768" t="s">
        <v>231</v>
      </c>
      <c r="C4" s="768"/>
      <c r="D4" s="768"/>
      <c r="E4" s="768"/>
      <c r="F4" s="768"/>
      <c r="G4" s="768"/>
      <c r="H4" s="768"/>
    </row>
    <row r="5" spans="1:12" ht="30" customHeight="1">
      <c r="B5" s="784" t="s">
        <v>232</v>
      </c>
      <c r="C5" s="784"/>
      <c r="D5" s="784"/>
      <c r="E5" s="784"/>
      <c r="F5" s="784"/>
      <c r="G5" s="784"/>
      <c r="H5" s="784"/>
    </row>
    <row r="6" spans="1:12" ht="45" customHeight="1">
      <c r="B6" s="774" t="s">
        <v>233</v>
      </c>
      <c r="C6" s="774"/>
      <c r="D6" s="774"/>
      <c r="E6" s="774"/>
      <c r="F6" s="774"/>
      <c r="G6" s="774"/>
      <c r="H6" s="774"/>
    </row>
    <row r="7" spans="1:12" ht="30" customHeight="1">
      <c r="B7" s="772" t="s">
        <v>403</v>
      </c>
      <c r="C7" s="772"/>
      <c r="D7" s="772"/>
      <c r="E7" s="772"/>
      <c r="F7" s="772"/>
      <c r="G7" s="772"/>
      <c r="H7" s="772"/>
    </row>
    <row r="8" spans="1:12" ht="30" customHeight="1">
      <c r="B8" s="768" t="s">
        <v>234</v>
      </c>
      <c r="C8" s="768"/>
      <c r="D8" s="768"/>
      <c r="E8" s="768"/>
      <c r="F8" s="768"/>
      <c r="G8" s="768"/>
      <c r="H8" s="768"/>
    </row>
    <row r="9" spans="1:12" ht="30" customHeight="1">
      <c r="B9" s="784" t="s">
        <v>235</v>
      </c>
      <c r="C9" s="784"/>
      <c r="D9" s="784"/>
      <c r="E9" s="784"/>
      <c r="F9" s="784"/>
      <c r="G9" s="784"/>
      <c r="H9" s="784"/>
    </row>
    <row r="10" spans="1:12" ht="30" customHeight="1">
      <c r="B10" s="783" t="s">
        <v>259</v>
      </c>
      <c r="C10" s="783"/>
      <c r="D10" s="783"/>
      <c r="E10" s="783"/>
      <c r="F10" s="783"/>
      <c r="G10" s="783"/>
      <c r="H10" s="783"/>
    </row>
    <row r="11" spans="1:12" ht="30" customHeight="1">
      <c r="B11" s="783" t="s">
        <v>236</v>
      </c>
      <c r="C11" s="783"/>
      <c r="D11" s="783"/>
      <c r="E11" s="783"/>
      <c r="F11" s="783"/>
      <c r="G11" s="783"/>
      <c r="H11" s="783"/>
    </row>
    <row r="12" spans="1:12" ht="24.75" customHeight="1">
      <c r="B12" s="768" t="s">
        <v>237</v>
      </c>
      <c r="C12" s="768"/>
      <c r="D12" s="768"/>
      <c r="E12" s="768"/>
      <c r="F12" s="768"/>
      <c r="G12" s="768"/>
      <c r="H12" s="768"/>
    </row>
    <row r="13" spans="1:12" ht="30" customHeight="1">
      <c r="B13" s="772" t="s">
        <v>173</v>
      </c>
      <c r="C13" s="772"/>
      <c r="D13" s="772"/>
      <c r="E13" s="772"/>
      <c r="F13" s="772"/>
      <c r="G13" s="772"/>
      <c r="H13" s="772"/>
    </row>
    <row r="14" spans="1:12" ht="22.5" customHeight="1">
      <c r="B14" s="768" t="s">
        <v>238</v>
      </c>
      <c r="C14" s="768"/>
      <c r="D14" s="768"/>
      <c r="E14" s="768"/>
      <c r="F14" s="768"/>
      <c r="G14" s="768"/>
      <c r="H14" s="768"/>
    </row>
    <row r="15" spans="1:12" ht="45" customHeight="1">
      <c r="B15" s="774" t="s">
        <v>174</v>
      </c>
      <c r="C15" s="774"/>
      <c r="D15" s="774"/>
      <c r="E15" s="774"/>
      <c r="F15" s="774"/>
      <c r="G15" s="774"/>
      <c r="H15" s="774"/>
    </row>
    <row r="16" spans="1:12" ht="30" customHeight="1">
      <c r="B16" s="768" t="s">
        <v>239</v>
      </c>
      <c r="C16" s="768"/>
      <c r="D16" s="768"/>
      <c r="E16" s="768"/>
      <c r="F16" s="768"/>
      <c r="G16" s="768"/>
      <c r="H16" s="768"/>
    </row>
    <row r="17" spans="2:8" ht="106.5" customHeight="1">
      <c r="B17" s="776" t="s">
        <v>290</v>
      </c>
      <c r="C17" s="776"/>
      <c r="D17" s="776"/>
      <c r="E17" s="776"/>
      <c r="F17" s="776"/>
      <c r="G17" s="776"/>
      <c r="H17" s="776"/>
    </row>
  </sheetData>
  <mergeCells count="17">
    <mergeCell ref="A1:H1"/>
    <mergeCell ref="B2:H2"/>
    <mergeCell ref="B3:H3"/>
    <mergeCell ref="B7:H7"/>
    <mergeCell ref="B4:H4"/>
    <mergeCell ref="B5:H5"/>
    <mergeCell ref="B6:H6"/>
    <mergeCell ref="B17:H17"/>
    <mergeCell ref="B12:H12"/>
    <mergeCell ref="B13:H13"/>
    <mergeCell ref="B15:H15"/>
    <mergeCell ref="B14:H14"/>
    <mergeCell ref="B8:H8"/>
    <mergeCell ref="B10:H10"/>
    <mergeCell ref="B11:H11"/>
    <mergeCell ref="B16:H16"/>
    <mergeCell ref="B9:H9"/>
  </mergeCells>
  <printOptions horizontalCentered="1"/>
  <pageMargins left="3.937007874015748E-2" right="3.937007874015748E-2" top="3.937007874015748E-2" bottom="3.937007874015748E-2" header="3.937007874015748E-2" footer="3.937007874015748E-2"/>
  <pageSetup paperSize="9" scale="91" firstPageNumber="11" orientation="portrait" useFirstPageNumber="1" r:id="rId1"/>
  <headerFooter>
    <oddFooter>&amp;C&amp;"B Nazanin,Regular"&amp;P</oddFooter>
  </headerFooter>
  <rowBreaks count="1" manualBreakCount="1">
    <brk id="17"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
  <sheetViews>
    <sheetView rightToLeft="1" view="pageBreakPreview" zoomScaleNormal="100" zoomScaleSheetLayoutView="100" zoomScalePageLayoutView="55" workbookViewId="0">
      <selection activeCell="A4" sqref="A1:XFD1048576"/>
    </sheetView>
  </sheetViews>
  <sheetFormatPr defaultColWidth="9" defaultRowHeight="19.5"/>
  <cols>
    <col min="1" max="1" width="2.7109375" style="5" customWidth="1"/>
    <col min="2" max="2" width="39.85546875" style="19" customWidth="1"/>
    <col min="3" max="3" width="14.5703125" style="5" customWidth="1"/>
    <col min="4" max="4" width="0.5703125" style="5" customWidth="1"/>
    <col min="5" max="5" width="30.42578125" style="5" customWidth="1"/>
    <col min="6" max="6" width="0.42578125" style="5" customWidth="1"/>
    <col min="7" max="7" width="8.85546875" style="14" hidden="1" customWidth="1"/>
    <col min="8" max="8" width="0.42578125" style="5" customWidth="1"/>
    <col min="9" max="9" width="15.7109375" style="14" hidden="1" customWidth="1"/>
    <col min="10" max="10" width="0.42578125" style="5" customWidth="1"/>
    <col min="11" max="11" width="30.7109375" style="15" customWidth="1"/>
    <col min="12" max="12" width="0.5703125" style="15" customWidth="1"/>
    <col min="13" max="13" width="23.140625" style="15" customWidth="1"/>
    <col min="14" max="14" width="0.5703125" style="15" customWidth="1"/>
    <col min="15" max="15" width="38.28515625" style="15" customWidth="1"/>
    <col min="16" max="16" width="3.140625" style="5" customWidth="1"/>
    <col min="17" max="17" width="9" style="5"/>
    <col min="18" max="18" width="25.85546875" style="5" customWidth="1"/>
    <col min="19" max="16384" width="9" style="5"/>
  </cols>
  <sheetData>
    <row r="1" spans="1:16" ht="26.25">
      <c r="A1" s="789" t="str">
        <f>مفروضات!$C$1</f>
        <v>دانشگاه علوم پزشکی و خدمات بهداشتی درمانی سمنان</v>
      </c>
      <c r="B1" s="790"/>
      <c r="C1" s="790"/>
      <c r="D1" s="790"/>
      <c r="E1" s="790"/>
      <c r="F1" s="790"/>
      <c r="G1" s="790"/>
      <c r="H1" s="790"/>
      <c r="I1" s="790"/>
      <c r="J1" s="790"/>
      <c r="K1" s="790"/>
      <c r="L1" s="790"/>
      <c r="M1" s="790"/>
      <c r="N1" s="790"/>
      <c r="O1" s="790"/>
      <c r="P1" s="4"/>
    </row>
    <row r="2" spans="1:16" s="6" customFormat="1" ht="26.25">
      <c r="A2" s="485"/>
      <c r="B2" s="791" t="s">
        <v>33</v>
      </c>
      <c r="C2" s="791"/>
      <c r="D2" s="791"/>
      <c r="E2" s="791"/>
      <c r="F2" s="791"/>
      <c r="G2" s="791"/>
      <c r="H2" s="791"/>
      <c r="I2" s="791"/>
      <c r="J2" s="791"/>
      <c r="K2" s="791"/>
      <c r="L2" s="791"/>
      <c r="M2" s="791"/>
      <c r="N2" s="791"/>
      <c r="O2" s="791"/>
    </row>
    <row r="3" spans="1:16" ht="26.25">
      <c r="A3" s="485"/>
      <c r="B3" s="791" t="str">
        <f>مفروضات!$C$7</f>
        <v>سال مالي منتهي به 29 اسفند ماه 1402</v>
      </c>
      <c r="C3" s="791"/>
      <c r="D3" s="791"/>
      <c r="E3" s="791"/>
      <c r="F3" s="791"/>
      <c r="G3" s="791"/>
      <c r="H3" s="791"/>
      <c r="I3" s="791"/>
      <c r="J3" s="791"/>
      <c r="K3" s="791"/>
      <c r="L3" s="791"/>
      <c r="M3" s="791"/>
      <c r="N3" s="791"/>
      <c r="O3" s="791"/>
      <c r="P3" s="6"/>
    </row>
    <row r="4" spans="1:16" ht="6" customHeight="1">
      <c r="A4" s="482"/>
      <c r="B4" s="522"/>
      <c r="C4" s="523"/>
      <c r="D4" s="523"/>
      <c r="E4" s="523"/>
      <c r="F4" s="523"/>
      <c r="G4" s="523"/>
      <c r="H4" s="523"/>
      <c r="I4" s="523"/>
      <c r="J4" s="523"/>
      <c r="K4" s="524"/>
      <c r="L4" s="524"/>
      <c r="M4" s="524"/>
      <c r="N4" s="524"/>
      <c r="O4" s="524"/>
    </row>
    <row r="5" spans="1:16" ht="26.25">
      <c r="A5" s="485"/>
      <c r="B5" s="792" t="s">
        <v>984</v>
      </c>
      <c r="C5" s="792"/>
      <c r="D5" s="792"/>
      <c r="E5" s="792"/>
      <c r="F5" s="792"/>
      <c r="G5" s="792"/>
      <c r="H5" s="792"/>
      <c r="I5" s="792"/>
      <c r="J5" s="792"/>
      <c r="K5" s="792"/>
      <c r="L5" s="792"/>
      <c r="M5" s="792"/>
      <c r="N5" s="792"/>
      <c r="O5" s="792"/>
      <c r="P5" s="6"/>
    </row>
    <row r="6" spans="1:16" ht="27">
      <c r="A6" s="482"/>
      <c r="B6" s="472"/>
      <c r="C6" s="506"/>
      <c r="D6" s="506"/>
      <c r="E6" s="788">
        <f>مفروضات!$C$3</f>
        <v>1402</v>
      </c>
      <c r="F6" s="788"/>
      <c r="G6" s="788"/>
      <c r="H6" s="788"/>
      <c r="I6" s="788"/>
      <c r="J6" s="788"/>
      <c r="K6" s="788"/>
      <c r="L6" s="788"/>
      <c r="M6" s="788"/>
      <c r="N6" s="525"/>
      <c r="O6" s="526">
        <f>مفروضات!$C$4</f>
        <v>1401</v>
      </c>
    </row>
    <row r="7" spans="1:16" ht="54.75" customHeight="1">
      <c r="A7" s="482"/>
      <c r="B7" s="527"/>
      <c r="C7" s="528" t="s">
        <v>116</v>
      </c>
      <c r="D7" s="482"/>
      <c r="E7" s="529" t="s">
        <v>18</v>
      </c>
      <c r="F7" s="498"/>
      <c r="G7" s="529" t="s">
        <v>19</v>
      </c>
      <c r="H7" s="498"/>
      <c r="I7" s="529" t="s">
        <v>24</v>
      </c>
      <c r="J7" s="498"/>
      <c r="K7" s="530" t="s">
        <v>25</v>
      </c>
      <c r="L7" s="498"/>
      <c r="M7" s="529" t="s">
        <v>26</v>
      </c>
      <c r="N7" s="498"/>
      <c r="O7" s="530" t="s">
        <v>26</v>
      </c>
    </row>
    <row r="8" spans="1:16" ht="22.5" customHeight="1">
      <c r="A8" s="482"/>
      <c r="B8" s="527"/>
      <c r="C8" s="482"/>
      <c r="D8" s="482"/>
      <c r="E8" s="498" t="s">
        <v>102</v>
      </c>
      <c r="F8" s="498"/>
      <c r="G8" s="498" t="s">
        <v>102</v>
      </c>
      <c r="H8" s="498"/>
      <c r="I8" s="498" t="s">
        <v>102</v>
      </c>
      <c r="J8" s="498"/>
      <c r="K8" s="498" t="s">
        <v>102</v>
      </c>
      <c r="L8" s="498"/>
      <c r="M8" s="498" t="s">
        <v>102</v>
      </c>
      <c r="N8" s="498"/>
      <c r="O8" s="498" t="s">
        <v>102</v>
      </c>
    </row>
    <row r="9" spans="1:16" ht="41.25" customHeight="1">
      <c r="A9" s="482"/>
      <c r="B9" s="584" t="s">
        <v>524</v>
      </c>
      <c r="C9" s="532" t="s">
        <v>985</v>
      </c>
      <c r="D9" s="531"/>
      <c r="E9" s="533">
        <f>E23</f>
        <v>3096762974542</v>
      </c>
      <c r="F9" s="533"/>
      <c r="G9" s="533"/>
      <c r="H9" s="533"/>
      <c r="I9" s="533" t="e">
        <f>#REF!</f>
        <v>#REF!</v>
      </c>
      <c r="J9" s="533"/>
      <c r="K9" s="533">
        <f>K23</f>
        <v>-566679039477</v>
      </c>
      <c r="L9" s="533"/>
      <c r="M9" s="533">
        <f>M23</f>
        <v>2530083935065</v>
      </c>
      <c r="N9" s="533"/>
      <c r="O9" s="533">
        <f>O23</f>
        <v>1489820284759</v>
      </c>
    </row>
    <row r="10" spans="1:16" ht="39.75" customHeight="1" thickBot="1">
      <c r="A10" s="482"/>
      <c r="B10" s="531"/>
      <c r="C10" s="482"/>
      <c r="D10" s="482"/>
      <c r="E10" s="534">
        <f>SUM(E9:E9)</f>
        <v>3096762974542</v>
      </c>
      <c r="F10" s="535"/>
      <c r="G10" s="534">
        <f>SUM(G9:G9)</f>
        <v>0</v>
      </c>
      <c r="H10" s="535"/>
      <c r="I10" s="534" t="e">
        <f>SUM(I9:I9)</f>
        <v>#REF!</v>
      </c>
      <c r="J10" s="535"/>
      <c r="K10" s="534">
        <f>SUM(K9:K9)</f>
        <v>-566679039477</v>
      </c>
      <c r="L10" s="536"/>
      <c r="M10" s="534">
        <f>M23</f>
        <v>2530083935065</v>
      </c>
      <c r="N10" s="536"/>
      <c r="O10" s="534">
        <f>SUM(O9:O9)</f>
        <v>1489820284759</v>
      </c>
    </row>
    <row r="11" spans="1:16" ht="6.75" customHeight="1" thickTop="1">
      <c r="A11" s="482"/>
      <c r="B11" s="474"/>
      <c r="C11" s="482"/>
      <c r="D11" s="482"/>
      <c r="E11" s="482"/>
      <c r="F11" s="482"/>
      <c r="G11" s="506"/>
      <c r="H11" s="482"/>
      <c r="I11" s="506"/>
      <c r="J11" s="482"/>
      <c r="K11" s="498"/>
      <c r="L11" s="498"/>
      <c r="M11" s="498"/>
      <c r="N11" s="498"/>
      <c r="O11" s="498"/>
    </row>
    <row r="12" spans="1:16" ht="24" customHeight="1">
      <c r="A12" s="482"/>
      <c r="B12" s="793" t="s">
        <v>1082</v>
      </c>
      <c r="C12" s="793"/>
      <c r="D12" s="793"/>
      <c r="E12" s="793"/>
      <c r="F12" s="793"/>
      <c r="G12" s="793"/>
      <c r="H12" s="793"/>
      <c r="I12" s="793"/>
      <c r="J12" s="793"/>
      <c r="K12" s="793"/>
      <c r="L12" s="793"/>
      <c r="M12" s="793"/>
      <c r="N12" s="793"/>
      <c r="O12" s="793"/>
    </row>
    <row r="13" spans="1:16" ht="27">
      <c r="A13" s="482"/>
      <c r="B13" s="472"/>
      <c r="C13" s="506"/>
      <c r="D13" s="506"/>
      <c r="E13" s="788">
        <f>مفروضات!$C$3</f>
        <v>1402</v>
      </c>
      <c r="F13" s="788"/>
      <c r="G13" s="788"/>
      <c r="H13" s="788"/>
      <c r="I13" s="788"/>
      <c r="J13" s="788"/>
      <c r="K13" s="788"/>
      <c r="L13" s="788"/>
      <c r="M13" s="788"/>
      <c r="N13" s="525"/>
      <c r="O13" s="526">
        <f>مفروضات!$C$4</f>
        <v>1401</v>
      </c>
    </row>
    <row r="14" spans="1:16" ht="54">
      <c r="A14" s="482"/>
      <c r="B14" s="474"/>
      <c r="C14" s="528" t="s">
        <v>116</v>
      </c>
      <c r="D14" s="474"/>
      <c r="E14" s="528" t="s">
        <v>18</v>
      </c>
      <c r="F14" s="498"/>
      <c r="G14" s="528" t="s">
        <v>19</v>
      </c>
      <c r="H14" s="498"/>
      <c r="I14" s="528" t="s">
        <v>24</v>
      </c>
      <c r="J14" s="498"/>
      <c r="K14" s="542" t="s">
        <v>25</v>
      </c>
      <c r="L14" s="498"/>
      <c r="M14" s="528" t="s">
        <v>26</v>
      </c>
      <c r="N14" s="498"/>
      <c r="O14" s="542" t="s">
        <v>26</v>
      </c>
    </row>
    <row r="15" spans="1:16" ht="30" customHeight="1">
      <c r="A15" s="482"/>
      <c r="B15" s="474"/>
      <c r="C15" s="474"/>
      <c r="D15" s="474"/>
      <c r="E15" s="498" t="s">
        <v>102</v>
      </c>
      <c r="F15" s="498"/>
      <c r="G15" s="498" t="s">
        <v>102</v>
      </c>
      <c r="H15" s="498"/>
      <c r="I15" s="498" t="s">
        <v>102</v>
      </c>
      <c r="J15" s="498"/>
      <c r="K15" s="498" t="s">
        <v>102</v>
      </c>
      <c r="L15" s="498"/>
      <c r="M15" s="498" t="s">
        <v>102</v>
      </c>
      <c r="N15" s="498"/>
      <c r="O15" s="498" t="s">
        <v>102</v>
      </c>
    </row>
    <row r="16" spans="1:16" ht="24" customHeight="1">
      <c r="A16" s="482"/>
      <c r="B16" s="537" t="s">
        <v>624</v>
      </c>
      <c r="C16" s="538" t="s">
        <v>1083</v>
      </c>
      <c r="D16" s="474"/>
      <c r="E16" s="533">
        <f>E39</f>
        <v>2200783852664</v>
      </c>
      <c r="F16" s="539"/>
      <c r="G16" s="533">
        <v>0</v>
      </c>
      <c r="H16" s="540"/>
      <c r="I16" s="533">
        <f>G16+E16</f>
        <v>2200783852664</v>
      </c>
      <c r="J16" s="533"/>
      <c r="K16" s="536">
        <f xml:space="preserve"> (K39)</f>
        <v>-566679039477</v>
      </c>
      <c r="L16" s="541"/>
      <c r="M16" s="533">
        <f>I16+K16</f>
        <v>1634104813187</v>
      </c>
      <c r="N16" s="533"/>
      <c r="O16" s="533">
        <f>O39</f>
        <v>1213527113793</v>
      </c>
    </row>
    <row r="17" spans="1:18" ht="24" customHeight="1">
      <c r="A17" s="482"/>
      <c r="B17" s="537" t="s">
        <v>625</v>
      </c>
      <c r="C17" s="538" t="s">
        <v>1084</v>
      </c>
      <c r="D17" s="474"/>
      <c r="E17" s="533">
        <f>E58</f>
        <v>518965384817</v>
      </c>
      <c r="F17" s="539"/>
      <c r="G17" s="533">
        <v>0</v>
      </c>
      <c r="H17" s="540"/>
      <c r="I17" s="533">
        <f t="shared" ref="I17:I23" si="0">G17+E17</f>
        <v>518965384817</v>
      </c>
      <c r="J17" s="540"/>
      <c r="K17" s="533">
        <v>0</v>
      </c>
      <c r="L17" s="541"/>
      <c r="M17" s="533">
        <f>I17</f>
        <v>518965384817</v>
      </c>
      <c r="N17" s="541"/>
      <c r="O17" s="533">
        <f>O58</f>
        <v>46944582944</v>
      </c>
      <c r="R17" s="5">
        <f>E17-O17</f>
        <v>472020801873</v>
      </c>
    </row>
    <row r="18" spans="1:18" ht="24" customHeight="1">
      <c r="A18" s="482"/>
      <c r="B18" s="537" t="s">
        <v>209</v>
      </c>
      <c r="C18" s="538" t="s">
        <v>1085</v>
      </c>
      <c r="D18" s="474"/>
      <c r="E18" s="533">
        <f>E69</f>
        <v>1470688730</v>
      </c>
      <c r="F18" s="539"/>
      <c r="G18" s="533">
        <v>0</v>
      </c>
      <c r="H18" s="540"/>
      <c r="I18" s="533">
        <f t="shared" si="0"/>
        <v>1470688730</v>
      </c>
      <c r="J18" s="540"/>
      <c r="K18" s="533">
        <v>0</v>
      </c>
      <c r="L18" s="541"/>
      <c r="M18" s="533">
        <f>I18+K18</f>
        <v>1470688730</v>
      </c>
      <c r="N18" s="541"/>
      <c r="O18" s="533">
        <f>O69</f>
        <v>1470688730</v>
      </c>
    </row>
    <row r="19" spans="1:18" ht="24" customHeight="1">
      <c r="A19" s="482"/>
      <c r="B19" s="537" t="s">
        <v>407</v>
      </c>
      <c r="C19" s="538" t="s">
        <v>1086</v>
      </c>
      <c r="D19" s="474"/>
      <c r="E19" s="533">
        <f>E85</f>
        <v>153008953457</v>
      </c>
      <c r="F19" s="539"/>
      <c r="G19" s="533">
        <v>0</v>
      </c>
      <c r="H19" s="540"/>
      <c r="I19" s="533">
        <f t="shared" si="0"/>
        <v>153008953457</v>
      </c>
      <c r="J19" s="540"/>
      <c r="K19" s="533">
        <v>0</v>
      </c>
      <c r="L19" s="541"/>
      <c r="M19" s="533">
        <f>I19+K19</f>
        <v>153008953457</v>
      </c>
      <c r="N19" s="541"/>
      <c r="O19" s="533">
        <f>O85</f>
        <v>120225573958</v>
      </c>
    </row>
    <row r="20" spans="1:18" ht="24" customHeight="1">
      <c r="A20" s="482"/>
      <c r="B20" s="537" t="s">
        <v>210</v>
      </c>
      <c r="C20" s="538" t="s">
        <v>1087</v>
      </c>
      <c r="D20" s="474"/>
      <c r="E20" s="533">
        <f>E106</f>
        <v>16642623766</v>
      </c>
      <c r="F20" s="539"/>
      <c r="G20" s="533">
        <v>0</v>
      </c>
      <c r="H20" s="540"/>
      <c r="I20" s="533">
        <f t="shared" si="0"/>
        <v>16642623766</v>
      </c>
      <c r="J20" s="540"/>
      <c r="K20" s="533">
        <v>0</v>
      </c>
      <c r="L20" s="541"/>
      <c r="M20" s="533">
        <f>I20</f>
        <v>16642623766</v>
      </c>
      <c r="N20" s="541"/>
      <c r="O20" s="533">
        <f>O106</f>
        <v>19442089845</v>
      </c>
    </row>
    <row r="21" spans="1:18" ht="24" customHeight="1">
      <c r="A21" s="482"/>
      <c r="B21" s="537" t="s">
        <v>211</v>
      </c>
      <c r="C21" s="538"/>
      <c r="D21" s="474"/>
      <c r="E21" s="533">
        <v>8365891789</v>
      </c>
      <c r="F21" s="539"/>
      <c r="G21" s="533">
        <v>0</v>
      </c>
      <c r="H21" s="540"/>
      <c r="I21" s="533">
        <f t="shared" si="0"/>
        <v>8365891789</v>
      </c>
      <c r="J21" s="540"/>
      <c r="K21" s="533">
        <v>0</v>
      </c>
      <c r="L21" s="541"/>
      <c r="M21" s="533">
        <f>I21+K21</f>
        <v>8365891789</v>
      </c>
      <c r="N21" s="541"/>
      <c r="O21" s="533">
        <v>7951404067</v>
      </c>
    </row>
    <row r="22" spans="1:18" ht="24" customHeight="1">
      <c r="A22" s="482"/>
      <c r="B22" s="537" t="s">
        <v>408</v>
      </c>
      <c r="C22" s="538" t="s">
        <v>1308</v>
      </c>
      <c r="D22" s="474"/>
      <c r="E22" s="533">
        <v>197525579319</v>
      </c>
      <c r="F22" s="539"/>
      <c r="G22" s="533">
        <v>0</v>
      </c>
      <c r="H22" s="540"/>
      <c r="I22" s="533">
        <f t="shared" si="0"/>
        <v>197525579319</v>
      </c>
      <c r="J22" s="540"/>
      <c r="K22" s="533">
        <v>0</v>
      </c>
      <c r="L22" s="541"/>
      <c r="M22" s="533">
        <f>I22</f>
        <v>197525579319</v>
      </c>
      <c r="N22" s="541"/>
      <c r="O22" s="533">
        <v>80258831422</v>
      </c>
    </row>
    <row r="23" spans="1:18" ht="22.5" customHeight="1" thickBot="1">
      <c r="A23" s="482"/>
      <c r="B23" s="474"/>
      <c r="C23" s="474"/>
      <c r="D23" s="474"/>
      <c r="E23" s="534">
        <f>SUM(E16:E22)</f>
        <v>3096762974542</v>
      </c>
      <c r="F23" s="535"/>
      <c r="G23" s="534">
        <v>0</v>
      </c>
      <c r="H23" s="535"/>
      <c r="I23" s="534">
        <f t="shared" si="0"/>
        <v>3096762974542</v>
      </c>
      <c r="J23" s="535"/>
      <c r="K23" s="534">
        <f>(K16)</f>
        <v>-566679039477</v>
      </c>
      <c r="L23" s="536"/>
      <c r="M23" s="534">
        <f>I23+K23</f>
        <v>2530083935065</v>
      </c>
      <c r="N23" s="536"/>
      <c r="O23" s="534">
        <f>SUM(O16:O22)</f>
        <v>1489820284759</v>
      </c>
    </row>
    <row r="24" spans="1:18" ht="8.25" customHeight="1" thickTop="1">
      <c r="A24" s="482"/>
      <c r="B24" s="474"/>
      <c r="C24" s="474"/>
      <c r="D24" s="474"/>
      <c r="E24" s="474"/>
      <c r="F24" s="474"/>
      <c r="G24" s="474"/>
      <c r="H24" s="474"/>
      <c r="I24" s="474"/>
      <c r="J24" s="474"/>
      <c r="K24" s="474"/>
      <c r="L24" s="474"/>
      <c r="M24" s="474"/>
      <c r="N24" s="474"/>
      <c r="O24" s="474"/>
    </row>
    <row r="25" spans="1:18" ht="24" customHeight="1">
      <c r="B25" s="786" t="s">
        <v>1088</v>
      </c>
      <c r="C25" s="786"/>
      <c r="D25" s="786"/>
      <c r="E25" s="786"/>
      <c r="F25" s="786"/>
      <c r="G25" s="786"/>
      <c r="H25" s="786"/>
      <c r="I25" s="786"/>
      <c r="J25" s="786"/>
      <c r="K25" s="786"/>
      <c r="L25" s="786"/>
      <c r="M25" s="786"/>
      <c r="N25" s="786"/>
      <c r="O25" s="786"/>
    </row>
    <row r="26" spans="1:18" ht="30" customHeight="1">
      <c r="B26" s="543"/>
      <c r="C26" s="543"/>
      <c r="D26" s="543"/>
      <c r="E26" s="787">
        <f>E6</f>
        <v>1402</v>
      </c>
      <c r="F26" s="787"/>
      <c r="G26" s="787"/>
      <c r="H26" s="787"/>
      <c r="I26" s="787"/>
      <c r="J26" s="787"/>
      <c r="K26" s="787"/>
      <c r="L26" s="787"/>
      <c r="M26" s="787"/>
      <c r="N26" s="544">
        <f>N6</f>
        <v>0</v>
      </c>
      <c r="O26" s="545">
        <f>O6</f>
        <v>1401</v>
      </c>
    </row>
    <row r="27" spans="1:18" ht="61.5">
      <c r="B27" s="543"/>
      <c r="C27" s="546" t="s">
        <v>116</v>
      </c>
      <c r="D27" s="543"/>
      <c r="E27" s="547" t="s">
        <v>18</v>
      </c>
      <c r="F27" s="548"/>
      <c r="G27" s="547" t="s">
        <v>19</v>
      </c>
      <c r="H27" s="548"/>
      <c r="I27" s="547" t="s">
        <v>24</v>
      </c>
      <c r="J27" s="548"/>
      <c r="K27" s="549" t="s">
        <v>25</v>
      </c>
      <c r="L27" s="548"/>
      <c r="M27" s="547" t="s">
        <v>26</v>
      </c>
      <c r="N27" s="548"/>
      <c r="O27" s="549" t="s">
        <v>26</v>
      </c>
    </row>
    <row r="28" spans="1:18" ht="30" customHeight="1">
      <c r="B28" s="543"/>
      <c r="C28" s="550"/>
      <c r="D28" s="543"/>
      <c r="E28" s="548" t="s">
        <v>102</v>
      </c>
      <c r="F28" s="548"/>
      <c r="G28" s="548" t="s">
        <v>102</v>
      </c>
      <c r="H28" s="548"/>
      <c r="I28" s="548" t="s">
        <v>102</v>
      </c>
      <c r="J28" s="548"/>
      <c r="K28" s="548" t="s">
        <v>102</v>
      </c>
      <c r="L28" s="548"/>
      <c r="M28" s="548" t="s">
        <v>102</v>
      </c>
      <c r="N28" s="548"/>
      <c r="O28" s="548" t="s">
        <v>102</v>
      </c>
    </row>
    <row r="29" spans="1:18" ht="24" customHeight="1">
      <c r="B29" s="551" t="s">
        <v>212</v>
      </c>
      <c r="C29" s="552" t="s">
        <v>1089</v>
      </c>
      <c r="D29" s="543"/>
      <c r="E29" s="553">
        <v>1350967306181</v>
      </c>
      <c r="F29" s="554"/>
      <c r="G29" s="553">
        <v>0</v>
      </c>
      <c r="H29" s="555"/>
      <c r="I29" s="553">
        <f>E29+G29</f>
        <v>1350967306181</v>
      </c>
      <c r="J29" s="555"/>
      <c r="K29" s="553">
        <v>-394582567875</v>
      </c>
      <c r="L29" s="556"/>
      <c r="M29" s="553">
        <f>I29+K29</f>
        <v>956384738306</v>
      </c>
      <c r="N29" s="556"/>
      <c r="O29" s="553">
        <v>797846023415</v>
      </c>
    </row>
    <row r="30" spans="1:18" ht="24" customHeight="1">
      <c r="B30" s="551" t="s">
        <v>240</v>
      </c>
      <c r="C30" s="552" t="s">
        <v>989</v>
      </c>
      <c r="D30" s="543"/>
      <c r="E30" s="553">
        <v>468442476983</v>
      </c>
      <c r="F30" s="554"/>
      <c r="G30" s="553">
        <v>0</v>
      </c>
      <c r="H30" s="555"/>
      <c r="I30" s="553">
        <f t="shared" ref="I30:I36" si="1">E30+G30</f>
        <v>468442476983</v>
      </c>
      <c r="J30" s="555"/>
      <c r="K30" s="553">
        <v>-142995669565</v>
      </c>
      <c r="L30" s="556"/>
      <c r="M30" s="553">
        <f t="shared" ref="M30:M38" si="2">I30+K30</f>
        <v>325446807418</v>
      </c>
      <c r="N30" s="556"/>
      <c r="O30" s="553">
        <v>160705312735</v>
      </c>
    </row>
    <row r="31" spans="1:18" ht="24" customHeight="1">
      <c r="B31" s="551" t="s">
        <v>241</v>
      </c>
      <c r="C31" s="552" t="s">
        <v>986</v>
      </c>
      <c r="D31" s="543"/>
      <c r="E31" s="553">
        <v>190252399298</v>
      </c>
      <c r="F31" s="554"/>
      <c r="G31" s="553">
        <v>0</v>
      </c>
      <c r="H31" s="555"/>
      <c r="I31" s="553">
        <f t="shared" si="1"/>
        <v>190252399298</v>
      </c>
      <c r="J31" s="555"/>
      <c r="K31" s="553">
        <v>-29100802037</v>
      </c>
      <c r="L31" s="556"/>
      <c r="M31" s="553">
        <f t="shared" si="2"/>
        <v>161151597261</v>
      </c>
      <c r="N31" s="556"/>
      <c r="O31" s="553">
        <v>98554746785</v>
      </c>
    </row>
    <row r="32" spans="1:18" ht="24" customHeight="1">
      <c r="B32" s="551" t="s">
        <v>912</v>
      </c>
      <c r="C32" s="552" t="s">
        <v>987</v>
      </c>
      <c r="D32" s="543"/>
      <c r="E32" s="553">
        <v>41251390028</v>
      </c>
      <c r="F32" s="554"/>
      <c r="G32" s="553">
        <v>0</v>
      </c>
      <c r="H32" s="555"/>
      <c r="I32" s="553">
        <f t="shared" si="1"/>
        <v>41251390028</v>
      </c>
      <c r="J32" s="555"/>
      <c r="K32" s="553">
        <v>0</v>
      </c>
      <c r="L32" s="556"/>
      <c r="M32" s="553">
        <f t="shared" si="2"/>
        <v>41251390028</v>
      </c>
      <c r="N32" s="556"/>
      <c r="O32" s="553">
        <v>43477684535</v>
      </c>
    </row>
    <row r="33" spans="2:15" ht="24" customHeight="1">
      <c r="B33" s="551" t="s">
        <v>913</v>
      </c>
      <c r="C33" s="552" t="s">
        <v>988</v>
      </c>
      <c r="D33" s="543"/>
      <c r="E33" s="553">
        <v>34286217726</v>
      </c>
      <c r="F33" s="554"/>
      <c r="G33" s="553">
        <v>0</v>
      </c>
      <c r="H33" s="555"/>
      <c r="I33" s="553">
        <f t="shared" si="1"/>
        <v>34286217726</v>
      </c>
      <c r="J33" s="555"/>
      <c r="K33" s="553">
        <v>0</v>
      </c>
      <c r="L33" s="556"/>
      <c r="M33" s="553">
        <f t="shared" si="2"/>
        <v>34286217726</v>
      </c>
      <c r="N33" s="556"/>
      <c r="O33" s="553">
        <v>24793571619</v>
      </c>
    </row>
    <row r="34" spans="2:15" ht="24" customHeight="1">
      <c r="B34" s="551" t="s">
        <v>914</v>
      </c>
      <c r="C34" s="552" t="s">
        <v>1090</v>
      </c>
      <c r="D34" s="543"/>
      <c r="E34" s="553">
        <v>10143131451</v>
      </c>
      <c r="F34" s="554"/>
      <c r="G34" s="553">
        <v>0</v>
      </c>
      <c r="H34" s="555"/>
      <c r="I34" s="553">
        <f t="shared" si="1"/>
        <v>10143131451</v>
      </c>
      <c r="J34" s="555"/>
      <c r="K34" s="553">
        <v>0</v>
      </c>
      <c r="L34" s="556"/>
      <c r="M34" s="553">
        <f t="shared" si="2"/>
        <v>10143131451</v>
      </c>
      <c r="N34" s="556"/>
      <c r="O34" s="553">
        <v>14848474273</v>
      </c>
    </row>
    <row r="35" spans="2:15" ht="24" customHeight="1">
      <c r="B35" s="551" t="s">
        <v>915</v>
      </c>
      <c r="C35" s="552" t="s">
        <v>1091</v>
      </c>
      <c r="D35" s="543"/>
      <c r="E35" s="553">
        <v>11147473080</v>
      </c>
      <c r="F35" s="554"/>
      <c r="G35" s="553">
        <v>0</v>
      </c>
      <c r="H35" s="555"/>
      <c r="I35" s="553">
        <f t="shared" si="1"/>
        <v>11147473080</v>
      </c>
      <c r="J35" s="555"/>
      <c r="K35" s="553">
        <v>0</v>
      </c>
      <c r="L35" s="556"/>
      <c r="M35" s="553">
        <f t="shared" si="2"/>
        <v>11147473080</v>
      </c>
      <c r="N35" s="556"/>
      <c r="O35" s="553">
        <v>5615613586</v>
      </c>
    </row>
    <row r="36" spans="2:15" ht="24" customHeight="1">
      <c r="B36" s="551" t="s">
        <v>916</v>
      </c>
      <c r="C36" s="552" t="s">
        <v>1092</v>
      </c>
      <c r="D36" s="543"/>
      <c r="E36" s="553">
        <v>8855970161</v>
      </c>
      <c r="F36" s="554"/>
      <c r="G36" s="553">
        <v>0</v>
      </c>
      <c r="H36" s="555"/>
      <c r="I36" s="553">
        <f t="shared" si="1"/>
        <v>8855970161</v>
      </c>
      <c r="J36" s="555"/>
      <c r="K36" s="553">
        <v>0</v>
      </c>
      <c r="L36" s="556"/>
      <c r="M36" s="553">
        <f t="shared" si="2"/>
        <v>8855970161</v>
      </c>
      <c r="N36" s="556"/>
      <c r="O36" s="553">
        <v>3008849885</v>
      </c>
    </row>
    <row r="37" spans="2:15" ht="24" customHeight="1">
      <c r="B37" s="551" t="s">
        <v>917</v>
      </c>
      <c r="C37" s="552" t="s">
        <v>1093</v>
      </c>
      <c r="D37" s="543"/>
      <c r="E37" s="553">
        <v>5747661619</v>
      </c>
      <c r="F37" s="554"/>
      <c r="G37" s="553">
        <v>0</v>
      </c>
      <c r="H37" s="555"/>
      <c r="I37" s="553">
        <f>E37+G37</f>
        <v>5747661619</v>
      </c>
      <c r="J37" s="555"/>
      <c r="K37" s="553">
        <v>0</v>
      </c>
      <c r="L37" s="556"/>
      <c r="M37" s="553">
        <f t="shared" si="2"/>
        <v>5747661619</v>
      </c>
      <c r="N37" s="556"/>
      <c r="O37" s="553">
        <v>3330046058</v>
      </c>
    </row>
    <row r="38" spans="2:15" ht="24" customHeight="1">
      <c r="B38" s="551" t="s">
        <v>623</v>
      </c>
      <c r="C38" s="552"/>
      <c r="D38" s="543"/>
      <c r="E38" s="553">
        <v>79689826137</v>
      </c>
      <c r="F38" s="554"/>
      <c r="G38" s="553">
        <v>0</v>
      </c>
      <c r="H38" s="555"/>
      <c r="I38" s="553">
        <f>E38</f>
        <v>79689826137</v>
      </c>
      <c r="J38" s="555"/>
      <c r="K38" s="553">
        <v>0</v>
      </c>
      <c r="L38" s="556"/>
      <c r="M38" s="553">
        <f t="shared" si="2"/>
        <v>79689826137</v>
      </c>
      <c r="N38" s="556"/>
      <c r="O38" s="553">
        <v>61346790902</v>
      </c>
    </row>
    <row r="39" spans="2:15" ht="22.5" customHeight="1" thickBot="1">
      <c r="B39" s="543"/>
      <c r="C39" s="543"/>
      <c r="D39" s="543"/>
      <c r="E39" s="557">
        <f>SUM(E29:E38)</f>
        <v>2200783852664</v>
      </c>
      <c r="F39" s="558"/>
      <c r="G39" s="557">
        <v>0</v>
      </c>
      <c r="H39" s="558"/>
      <c r="I39" s="557">
        <f>SUM(I29:I38)</f>
        <v>2200783852664</v>
      </c>
      <c r="J39" s="558"/>
      <c r="K39" s="557">
        <f>K31+K29+K30</f>
        <v>-566679039477</v>
      </c>
      <c r="L39" s="559"/>
      <c r="M39" s="557">
        <f>I39+K39</f>
        <v>1634104813187</v>
      </c>
      <c r="N39" s="559"/>
      <c r="O39" s="557">
        <f>SUM(O29:O38)</f>
        <v>1213527113793</v>
      </c>
    </row>
    <row r="40" spans="2:15" ht="6" customHeight="1" thickTop="1">
      <c r="B40" s="543"/>
      <c r="C40" s="543"/>
      <c r="D40" s="543"/>
      <c r="E40" s="543"/>
      <c r="F40" s="543"/>
      <c r="G40" s="543"/>
      <c r="H40" s="543"/>
      <c r="I40" s="543"/>
      <c r="J40" s="543"/>
      <c r="K40" s="543"/>
      <c r="L40" s="543"/>
      <c r="M40" s="543"/>
      <c r="N40" s="543"/>
      <c r="O40" s="543"/>
    </row>
    <row r="41" spans="2:15" ht="102.75" customHeight="1">
      <c r="B41" s="785" t="s">
        <v>1315</v>
      </c>
      <c r="C41" s="785"/>
      <c r="D41" s="785"/>
      <c r="E41" s="785"/>
      <c r="F41" s="785"/>
      <c r="G41" s="785"/>
      <c r="H41" s="785"/>
      <c r="I41" s="785"/>
      <c r="J41" s="785"/>
      <c r="K41" s="785"/>
      <c r="L41" s="785"/>
      <c r="M41" s="785"/>
      <c r="N41" s="785"/>
      <c r="O41" s="785"/>
    </row>
    <row r="42" spans="2:15" ht="108" customHeight="1">
      <c r="B42" s="785" t="s">
        <v>1316</v>
      </c>
      <c r="C42" s="785"/>
      <c r="D42" s="785"/>
      <c r="E42" s="785"/>
      <c r="F42" s="785"/>
      <c r="G42" s="785"/>
      <c r="H42" s="785"/>
      <c r="I42" s="785"/>
      <c r="J42" s="785"/>
      <c r="K42" s="785"/>
      <c r="L42" s="785"/>
      <c r="M42" s="785"/>
      <c r="N42" s="785"/>
      <c r="O42" s="785"/>
    </row>
    <row r="43" spans="2:15" ht="104.25" customHeight="1">
      <c r="B43" s="785" t="s">
        <v>1314</v>
      </c>
      <c r="C43" s="785"/>
      <c r="D43" s="785"/>
      <c r="E43" s="785"/>
      <c r="F43" s="785"/>
      <c r="G43" s="785"/>
      <c r="H43" s="785"/>
      <c r="I43" s="785"/>
      <c r="J43" s="785"/>
      <c r="K43" s="785"/>
      <c r="L43" s="785"/>
      <c r="M43" s="785"/>
      <c r="N43" s="785"/>
      <c r="O43" s="785"/>
    </row>
    <row r="44" spans="2:15" ht="31.5" customHeight="1">
      <c r="B44" s="786" t="s">
        <v>1094</v>
      </c>
      <c r="C44" s="786"/>
      <c r="D44" s="786"/>
      <c r="E44" s="786"/>
      <c r="F44" s="786"/>
      <c r="G44" s="786"/>
      <c r="H44" s="786"/>
      <c r="I44" s="786"/>
      <c r="J44" s="786"/>
      <c r="K44" s="786"/>
      <c r="L44" s="786"/>
      <c r="M44" s="786"/>
      <c r="N44" s="786"/>
      <c r="O44" s="786"/>
    </row>
    <row r="45" spans="2:15" ht="30" customHeight="1">
      <c r="B45" s="786" t="s">
        <v>1095</v>
      </c>
      <c r="C45" s="786"/>
      <c r="D45" s="786"/>
      <c r="E45" s="786"/>
      <c r="F45" s="786"/>
      <c r="G45" s="786"/>
      <c r="H45" s="786"/>
      <c r="I45" s="786"/>
      <c r="J45" s="786"/>
      <c r="K45" s="786"/>
      <c r="L45" s="786"/>
      <c r="M45" s="786"/>
      <c r="N45" s="786"/>
      <c r="O45" s="786"/>
    </row>
    <row r="46" spans="2:15" ht="41.25" customHeight="1">
      <c r="B46" s="786" t="s">
        <v>1096</v>
      </c>
      <c r="C46" s="786"/>
      <c r="D46" s="786"/>
      <c r="E46" s="786"/>
      <c r="F46" s="786"/>
      <c r="G46" s="786"/>
      <c r="H46" s="786"/>
      <c r="I46" s="786"/>
      <c r="J46" s="786"/>
      <c r="K46" s="786"/>
      <c r="L46" s="786"/>
      <c r="M46" s="786"/>
      <c r="N46" s="786"/>
      <c r="O46" s="786"/>
    </row>
    <row r="47" spans="2:15" ht="30" customHeight="1">
      <c r="B47" s="786" t="s">
        <v>1097</v>
      </c>
      <c r="C47" s="786"/>
      <c r="D47" s="786"/>
      <c r="E47" s="786"/>
      <c r="F47" s="786"/>
      <c r="G47" s="786"/>
      <c r="H47" s="786"/>
      <c r="I47" s="786"/>
      <c r="J47" s="786"/>
      <c r="K47" s="786"/>
      <c r="L47" s="786"/>
      <c r="M47" s="786"/>
      <c r="N47" s="786"/>
      <c r="O47" s="786"/>
    </row>
    <row r="48" spans="2:15" ht="34.5" customHeight="1">
      <c r="B48" s="786" t="s">
        <v>1098</v>
      </c>
      <c r="C48" s="786"/>
      <c r="D48" s="786"/>
      <c r="E48" s="786"/>
      <c r="F48" s="786"/>
      <c r="G48" s="786"/>
      <c r="H48" s="786"/>
      <c r="I48" s="786"/>
      <c r="J48" s="786"/>
      <c r="K48" s="786"/>
      <c r="L48" s="786"/>
      <c r="M48" s="786"/>
      <c r="N48" s="786"/>
      <c r="O48" s="786"/>
    </row>
    <row r="49" spans="2:15" ht="25.5" customHeight="1">
      <c r="B49" s="786" t="s">
        <v>1099</v>
      </c>
      <c r="C49" s="786"/>
      <c r="D49" s="786"/>
      <c r="E49" s="786"/>
      <c r="F49" s="786"/>
      <c r="G49" s="786"/>
      <c r="H49" s="786"/>
      <c r="I49" s="786"/>
      <c r="J49" s="786"/>
      <c r="K49" s="786"/>
      <c r="L49" s="786"/>
      <c r="M49" s="786"/>
      <c r="N49" s="786"/>
      <c r="O49" s="786"/>
    </row>
    <row r="50" spans="2:15" ht="6" customHeight="1">
      <c r="B50" s="786"/>
      <c r="C50" s="786"/>
      <c r="D50" s="786"/>
      <c r="E50" s="786"/>
      <c r="F50" s="786"/>
      <c r="G50" s="786"/>
      <c r="H50" s="786"/>
      <c r="I50" s="786"/>
      <c r="J50" s="786"/>
      <c r="K50" s="786"/>
      <c r="L50" s="786"/>
      <c r="M50" s="786"/>
      <c r="N50" s="786"/>
      <c r="O50" s="786"/>
    </row>
    <row r="51" spans="2:15" ht="24" customHeight="1">
      <c r="B51" s="786" t="s">
        <v>1100</v>
      </c>
      <c r="C51" s="786"/>
      <c r="D51" s="786"/>
      <c r="E51" s="786"/>
      <c r="F51" s="786"/>
      <c r="G51" s="786"/>
      <c r="H51" s="786"/>
      <c r="I51" s="786"/>
      <c r="J51" s="786"/>
      <c r="K51" s="786"/>
      <c r="L51" s="786"/>
      <c r="M51" s="786"/>
      <c r="N51" s="786"/>
      <c r="O51" s="786"/>
    </row>
    <row r="52" spans="2:15" ht="30" customHeight="1">
      <c r="B52" s="543"/>
      <c r="C52" s="543"/>
      <c r="D52" s="543"/>
      <c r="E52" s="787">
        <v>1402</v>
      </c>
      <c r="F52" s="787"/>
      <c r="G52" s="787"/>
      <c r="H52" s="787"/>
      <c r="I52" s="787"/>
      <c r="J52" s="787"/>
      <c r="K52" s="787"/>
      <c r="L52" s="787"/>
      <c r="M52" s="787"/>
      <c r="N52" s="544">
        <f>N14</f>
        <v>0</v>
      </c>
      <c r="O52" s="545">
        <v>1401</v>
      </c>
    </row>
    <row r="53" spans="2:15" ht="61.5">
      <c r="B53" s="543"/>
      <c r="C53" s="546" t="s">
        <v>116</v>
      </c>
      <c r="D53" s="543"/>
      <c r="E53" s="547" t="s">
        <v>18</v>
      </c>
      <c r="F53" s="548"/>
      <c r="G53" s="547" t="s">
        <v>19</v>
      </c>
      <c r="H53" s="548"/>
      <c r="I53" s="547" t="s">
        <v>24</v>
      </c>
      <c r="J53" s="548"/>
      <c r="K53" s="549" t="s">
        <v>25</v>
      </c>
      <c r="L53" s="548"/>
      <c r="M53" s="547" t="s">
        <v>26</v>
      </c>
      <c r="N53" s="548"/>
      <c r="O53" s="549" t="s">
        <v>26</v>
      </c>
    </row>
    <row r="54" spans="2:15" ht="30" customHeight="1">
      <c r="B54" s="543"/>
      <c r="C54" s="550"/>
      <c r="D54" s="543"/>
      <c r="E54" s="548" t="s">
        <v>102</v>
      </c>
      <c r="F54" s="548"/>
      <c r="G54" s="548" t="s">
        <v>102</v>
      </c>
      <c r="H54" s="548"/>
      <c r="I54" s="548" t="s">
        <v>102</v>
      </c>
      <c r="J54" s="548"/>
      <c r="K54" s="548" t="s">
        <v>102</v>
      </c>
      <c r="L54" s="548"/>
      <c r="M54" s="548" t="s">
        <v>102</v>
      </c>
      <c r="N54" s="548"/>
      <c r="O54" s="548" t="s">
        <v>102</v>
      </c>
    </row>
    <row r="55" spans="2:15" ht="24" customHeight="1">
      <c r="B55" s="551" t="s">
        <v>212</v>
      </c>
      <c r="C55" s="552" t="s">
        <v>1101</v>
      </c>
      <c r="D55" s="543"/>
      <c r="E55" s="560">
        <v>442384728588</v>
      </c>
      <c r="F55" s="561"/>
      <c r="G55" s="562">
        <v>0</v>
      </c>
      <c r="H55" s="563"/>
      <c r="I55" s="560">
        <f>G55+E55</f>
        <v>442384728588</v>
      </c>
      <c r="J55" s="563"/>
      <c r="K55" s="562" t="s">
        <v>455</v>
      </c>
      <c r="L55" s="548"/>
      <c r="M55" s="560">
        <f>I55</f>
        <v>442384728588</v>
      </c>
      <c r="N55" s="548"/>
      <c r="O55" s="560">
        <v>9688982191</v>
      </c>
    </row>
    <row r="56" spans="2:15" ht="24" customHeight="1">
      <c r="B56" s="551" t="s">
        <v>240</v>
      </c>
      <c r="C56" s="552" t="s">
        <v>1102</v>
      </c>
      <c r="D56" s="543"/>
      <c r="E56" s="560">
        <v>62965165439</v>
      </c>
      <c r="F56" s="561"/>
      <c r="G56" s="562">
        <v>0</v>
      </c>
      <c r="H56" s="563"/>
      <c r="I56" s="560">
        <f>G56+E56</f>
        <v>62965165439</v>
      </c>
      <c r="J56" s="563"/>
      <c r="K56" s="562" t="s">
        <v>455</v>
      </c>
      <c r="L56" s="548"/>
      <c r="M56" s="560">
        <f>I56</f>
        <v>62965165439</v>
      </c>
      <c r="N56" s="548"/>
      <c r="O56" s="560">
        <v>33621809540</v>
      </c>
    </row>
    <row r="57" spans="2:15" ht="24" customHeight="1">
      <c r="B57" s="551" t="s">
        <v>241</v>
      </c>
      <c r="C57" s="552" t="s">
        <v>1103</v>
      </c>
      <c r="D57" s="543"/>
      <c r="E57" s="560">
        <v>13615490790</v>
      </c>
      <c r="F57" s="561"/>
      <c r="G57" s="562">
        <v>0</v>
      </c>
      <c r="H57" s="563"/>
      <c r="I57" s="560">
        <f>G57+E57</f>
        <v>13615490790</v>
      </c>
      <c r="J57" s="563"/>
      <c r="K57" s="562" t="s">
        <v>455</v>
      </c>
      <c r="L57" s="548"/>
      <c r="M57" s="560">
        <f>I57</f>
        <v>13615490790</v>
      </c>
      <c r="N57" s="548"/>
      <c r="O57" s="560">
        <v>3633791213</v>
      </c>
    </row>
    <row r="58" spans="2:15" ht="22.5" customHeight="1" thickBot="1">
      <c r="B58" s="543"/>
      <c r="C58" s="543"/>
      <c r="D58" s="543"/>
      <c r="E58" s="564">
        <f>E55+E56+E57</f>
        <v>518965384817</v>
      </c>
      <c r="F58" s="565"/>
      <c r="G58" s="566">
        <v>0</v>
      </c>
      <c r="H58" s="565"/>
      <c r="I58" s="564">
        <f>I55+I56+I57</f>
        <v>518965384817</v>
      </c>
      <c r="J58" s="565"/>
      <c r="K58" s="566" t="s">
        <v>455</v>
      </c>
      <c r="L58" s="567"/>
      <c r="M58" s="564">
        <f>I58</f>
        <v>518965384817</v>
      </c>
      <c r="N58" s="567"/>
      <c r="O58" s="557">
        <f>SUM(O55:O57)</f>
        <v>46944582944</v>
      </c>
    </row>
    <row r="59" spans="2:15" ht="6" customHeight="1" thickTop="1">
      <c r="B59" s="543"/>
      <c r="C59" s="543"/>
      <c r="D59" s="543"/>
      <c r="E59" s="543"/>
      <c r="F59" s="543"/>
      <c r="G59" s="543"/>
      <c r="H59" s="543"/>
      <c r="I59" s="543"/>
      <c r="J59" s="543"/>
      <c r="K59" s="543"/>
      <c r="L59" s="543"/>
      <c r="M59" s="543"/>
      <c r="N59" s="543"/>
      <c r="O59" s="543"/>
    </row>
    <row r="60" spans="2:15" ht="33" customHeight="1">
      <c r="B60" s="786" t="s">
        <v>1104</v>
      </c>
      <c r="C60" s="786"/>
      <c r="D60" s="786"/>
      <c r="E60" s="786"/>
      <c r="F60" s="786"/>
      <c r="G60" s="786"/>
      <c r="H60" s="786"/>
      <c r="I60" s="786"/>
      <c r="J60" s="786"/>
      <c r="K60" s="786"/>
      <c r="L60" s="786"/>
      <c r="M60" s="786"/>
      <c r="N60" s="786"/>
      <c r="O60" s="786"/>
    </row>
    <row r="61" spans="2:15" ht="33" customHeight="1">
      <c r="B61" s="786" t="s">
        <v>1105</v>
      </c>
      <c r="C61" s="786"/>
      <c r="D61" s="786"/>
      <c r="E61" s="786"/>
      <c r="F61" s="786"/>
      <c r="G61" s="786"/>
      <c r="H61" s="786"/>
      <c r="I61" s="786"/>
      <c r="J61" s="786"/>
      <c r="K61" s="786"/>
      <c r="L61" s="786"/>
      <c r="M61" s="786"/>
      <c r="N61" s="786"/>
      <c r="O61" s="786"/>
    </row>
    <row r="62" spans="2:15" ht="34.5" customHeight="1">
      <c r="B62" s="786" t="s">
        <v>1106</v>
      </c>
      <c r="C62" s="786"/>
      <c r="D62" s="786"/>
      <c r="E62" s="786"/>
      <c r="F62" s="786"/>
      <c r="G62" s="786"/>
      <c r="H62" s="786"/>
      <c r="I62" s="786"/>
      <c r="J62" s="786"/>
      <c r="K62" s="786"/>
      <c r="L62" s="786"/>
      <c r="M62" s="786"/>
      <c r="N62" s="786"/>
      <c r="O62" s="786"/>
    </row>
    <row r="63" spans="2:15" ht="42.75" customHeight="1">
      <c r="B63" s="786" t="s">
        <v>1107</v>
      </c>
      <c r="C63" s="786"/>
      <c r="D63" s="786"/>
      <c r="E63" s="786"/>
      <c r="F63" s="786"/>
      <c r="G63" s="786"/>
      <c r="H63" s="786"/>
      <c r="I63" s="786"/>
      <c r="J63" s="786"/>
      <c r="K63" s="786"/>
      <c r="L63" s="786"/>
      <c r="M63" s="786"/>
      <c r="N63" s="786"/>
      <c r="O63" s="786"/>
    </row>
    <row r="64" spans="2:15" ht="30" customHeight="1">
      <c r="B64" s="543"/>
      <c r="C64" s="543"/>
      <c r="D64" s="543"/>
      <c r="E64" s="787">
        <v>1402</v>
      </c>
      <c r="F64" s="787"/>
      <c r="G64" s="787"/>
      <c r="H64" s="787"/>
      <c r="I64" s="787"/>
      <c r="J64" s="787"/>
      <c r="K64" s="787"/>
      <c r="L64" s="787"/>
      <c r="M64" s="787"/>
      <c r="N64" s="544" t="e">
        <f>#REF!</f>
        <v>#REF!</v>
      </c>
      <c r="O64" s="545">
        <v>1401</v>
      </c>
    </row>
    <row r="65" spans="2:15" ht="61.5">
      <c r="B65" s="543"/>
      <c r="C65" s="546" t="s">
        <v>116</v>
      </c>
      <c r="D65" s="543"/>
      <c r="E65" s="547" t="s">
        <v>18</v>
      </c>
      <c r="F65" s="548"/>
      <c r="G65" s="547" t="s">
        <v>19</v>
      </c>
      <c r="H65" s="548"/>
      <c r="I65" s="547" t="s">
        <v>24</v>
      </c>
      <c r="J65" s="548"/>
      <c r="K65" s="549" t="s">
        <v>25</v>
      </c>
      <c r="L65" s="548"/>
      <c r="M65" s="547" t="s">
        <v>26</v>
      </c>
      <c r="N65" s="548"/>
      <c r="O65" s="549" t="s">
        <v>26</v>
      </c>
    </row>
    <row r="66" spans="2:15" ht="30" customHeight="1">
      <c r="B66" s="543"/>
      <c r="C66" s="550"/>
      <c r="D66" s="543"/>
      <c r="E66" s="548" t="s">
        <v>102</v>
      </c>
      <c r="F66" s="548"/>
      <c r="G66" s="548" t="s">
        <v>102</v>
      </c>
      <c r="H66" s="548"/>
      <c r="I66" s="548" t="s">
        <v>102</v>
      </c>
      <c r="J66" s="548"/>
      <c r="K66" s="548" t="s">
        <v>102</v>
      </c>
      <c r="L66" s="548"/>
      <c r="M66" s="548" t="s">
        <v>102</v>
      </c>
      <c r="N66" s="548"/>
      <c r="O66" s="548" t="s">
        <v>102</v>
      </c>
    </row>
    <row r="67" spans="2:15" ht="24" customHeight="1">
      <c r="B67" s="543" t="s">
        <v>918</v>
      </c>
      <c r="C67" s="552" t="s">
        <v>1108</v>
      </c>
      <c r="D67" s="543"/>
      <c r="E67" s="553">
        <v>1279088730</v>
      </c>
      <c r="F67" s="554"/>
      <c r="G67" s="553">
        <v>0</v>
      </c>
      <c r="H67" s="555"/>
      <c r="I67" s="553">
        <f>E67</f>
        <v>1279088730</v>
      </c>
      <c r="J67" s="555"/>
      <c r="K67" s="553">
        <v>0</v>
      </c>
      <c r="L67" s="556"/>
      <c r="M67" s="553">
        <f>I67</f>
        <v>1279088730</v>
      </c>
      <c r="N67" s="556"/>
      <c r="O67" s="553">
        <v>1279088730</v>
      </c>
    </row>
    <row r="68" spans="2:15" ht="24" customHeight="1">
      <c r="B68" s="543" t="s">
        <v>933</v>
      </c>
      <c r="C68" s="552" t="s">
        <v>1109</v>
      </c>
      <c r="D68" s="543"/>
      <c r="E68" s="553">
        <v>191600000</v>
      </c>
      <c r="F68" s="554"/>
      <c r="G68" s="553">
        <v>0</v>
      </c>
      <c r="H68" s="555"/>
      <c r="I68" s="553">
        <f>E68</f>
        <v>191600000</v>
      </c>
      <c r="J68" s="555"/>
      <c r="K68" s="553">
        <v>0</v>
      </c>
      <c r="L68" s="556"/>
      <c r="M68" s="553">
        <f>I68</f>
        <v>191600000</v>
      </c>
      <c r="N68" s="556"/>
      <c r="O68" s="553">
        <f>M68</f>
        <v>191600000</v>
      </c>
    </row>
    <row r="69" spans="2:15" ht="22.5" customHeight="1" thickBot="1">
      <c r="B69" s="543"/>
      <c r="C69" s="543"/>
      <c r="D69" s="543"/>
      <c r="E69" s="557">
        <f>SUM(E67:E68)</f>
        <v>1470688730</v>
      </c>
      <c r="F69" s="558"/>
      <c r="G69" s="557">
        <v>0</v>
      </c>
      <c r="H69" s="558"/>
      <c r="I69" s="557">
        <f>I67+I68</f>
        <v>1470688730</v>
      </c>
      <c r="J69" s="558"/>
      <c r="K69" s="557">
        <v>0</v>
      </c>
      <c r="L69" s="559"/>
      <c r="M69" s="557">
        <f>M67+M68</f>
        <v>1470688730</v>
      </c>
      <c r="N69" s="559"/>
      <c r="O69" s="557">
        <f>O67+O68</f>
        <v>1470688730</v>
      </c>
    </row>
    <row r="70" spans="2:15" ht="17.25" customHeight="1" thickTop="1">
      <c r="B70" s="543"/>
      <c r="C70" s="543"/>
      <c r="D70" s="543"/>
      <c r="E70" s="559"/>
      <c r="F70" s="558"/>
      <c r="G70" s="559"/>
      <c r="H70" s="558"/>
      <c r="I70" s="559"/>
      <c r="J70" s="558"/>
      <c r="K70" s="559"/>
      <c r="L70" s="559"/>
      <c r="M70" s="559"/>
      <c r="N70" s="559"/>
      <c r="O70" s="559"/>
    </row>
    <row r="71" spans="2:15" ht="33.75" customHeight="1">
      <c r="B71" s="786" t="s">
        <v>1132</v>
      </c>
      <c r="C71" s="786"/>
      <c r="D71" s="786"/>
      <c r="E71" s="786"/>
      <c r="F71" s="786"/>
      <c r="G71" s="786"/>
      <c r="H71" s="786"/>
      <c r="I71" s="786"/>
      <c r="J71" s="786"/>
      <c r="K71" s="786"/>
      <c r="L71" s="786"/>
      <c r="M71" s="786"/>
      <c r="N71" s="786"/>
      <c r="O71" s="786"/>
    </row>
    <row r="72" spans="2:15" ht="34.5" customHeight="1">
      <c r="B72" s="786" t="s">
        <v>1133</v>
      </c>
      <c r="C72" s="786"/>
      <c r="D72" s="786"/>
      <c r="E72" s="786"/>
      <c r="F72" s="786"/>
      <c r="G72" s="786"/>
      <c r="H72" s="786"/>
      <c r="I72" s="786"/>
      <c r="J72" s="786"/>
      <c r="K72" s="786"/>
      <c r="L72" s="786"/>
      <c r="M72" s="786"/>
      <c r="N72" s="786"/>
      <c r="O72" s="786"/>
    </row>
    <row r="73" spans="2:15" ht="24" customHeight="1">
      <c r="B73" s="786" t="s">
        <v>1110</v>
      </c>
      <c r="C73" s="786"/>
      <c r="D73" s="786"/>
      <c r="E73" s="786"/>
      <c r="F73" s="786"/>
      <c r="G73" s="786"/>
      <c r="H73" s="786"/>
      <c r="I73" s="786"/>
      <c r="J73" s="786"/>
      <c r="K73" s="786"/>
      <c r="L73" s="786"/>
      <c r="M73" s="786"/>
      <c r="N73" s="786"/>
      <c r="O73" s="786"/>
    </row>
    <row r="74" spans="2:15" ht="30" customHeight="1">
      <c r="B74" s="543"/>
      <c r="C74" s="543"/>
      <c r="D74" s="543"/>
      <c r="E74" s="545">
        <f>E6</f>
        <v>1402</v>
      </c>
      <c r="F74" s="545"/>
      <c r="G74" s="545"/>
      <c r="H74" s="545"/>
      <c r="I74" s="545"/>
      <c r="J74" s="545"/>
      <c r="K74" s="545"/>
      <c r="L74" s="545"/>
      <c r="M74" s="545"/>
      <c r="N74" s="568">
        <f>N6</f>
        <v>0</v>
      </c>
      <c r="O74" s="569">
        <f>O6</f>
        <v>1401</v>
      </c>
    </row>
    <row r="75" spans="2:15" ht="61.5">
      <c r="B75" s="543"/>
      <c r="C75" s="546" t="s">
        <v>116</v>
      </c>
      <c r="D75" s="543"/>
      <c r="E75" s="547" t="s">
        <v>18</v>
      </c>
      <c r="F75" s="548"/>
      <c r="G75" s="547" t="s">
        <v>19</v>
      </c>
      <c r="H75" s="548"/>
      <c r="I75" s="547" t="s">
        <v>24</v>
      </c>
      <c r="J75" s="548"/>
      <c r="K75" s="549" t="s">
        <v>25</v>
      </c>
      <c r="L75" s="548"/>
      <c r="M75" s="547" t="s">
        <v>26</v>
      </c>
      <c r="N75" s="548"/>
      <c r="O75" s="549" t="s">
        <v>26</v>
      </c>
    </row>
    <row r="76" spans="2:15" ht="30" customHeight="1">
      <c r="B76" s="543"/>
      <c r="C76" s="550"/>
      <c r="D76" s="543"/>
      <c r="E76" s="548" t="s">
        <v>102</v>
      </c>
      <c r="F76" s="548"/>
      <c r="G76" s="548" t="s">
        <v>102</v>
      </c>
      <c r="H76" s="548"/>
      <c r="I76" s="548" t="s">
        <v>102</v>
      </c>
      <c r="J76" s="548"/>
      <c r="K76" s="548" t="s">
        <v>102</v>
      </c>
      <c r="L76" s="548"/>
      <c r="M76" s="548" t="s">
        <v>102</v>
      </c>
      <c r="N76" s="548"/>
      <c r="O76" s="548" t="s">
        <v>102</v>
      </c>
    </row>
    <row r="77" spans="2:15" ht="24" customHeight="1">
      <c r="B77" s="543" t="s">
        <v>919</v>
      </c>
      <c r="C77" s="552" t="s">
        <v>1111</v>
      </c>
      <c r="D77" s="543"/>
      <c r="E77" s="560">
        <v>6928639178</v>
      </c>
      <c r="F77" s="570"/>
      <c r="G77" s="562">
        <v>0</v>
      </c>
      <c r="H77" s="571"/>
      <c r="I77" s="560">
        <f>G77+E77</f>
        <v>6928639178</v>
      </c>
      <c r="J77" s="563"/>
      <c r="K77" s="562">
        <v>0</v>
      </c>
      <c r="L77" s="548"/>
      <c r="M77" s="560">
        <f t="shared" ref="M77:M84" si="3">I77</f>
        <v>6928639178</v>
      </c>
      <c r="N77" s="548"/>
      <c r="O77" s="562">
        <v>0</v>
      </c>
    </row>
    <row r="78" spans="2:15" ht="24" customHeight="1">
      <c r="B78" s="543" t="s">
        <v>920</v>
      </c>
      <c r="C78" s="552" t="s">
        <v>1112</v>
      </c>
      <c r="D78" s="543"/>
      <c r="E78" s="560">
        <v>92014848905</v>
      </c>
      <c r="F78" s="561"/>
      <c r="G78" s="562">
        <v>0</v>
      </c>
      <c r="H78" s="563"/>
      <c r="I78" s="560">
        <f>G78+E78</f>
        <v>92014848905</v>
      </c>
      <c r="J78" s="563"/>
      <c r="K78" s="562">
        <v>0</v>
      </c>
      <c r="L78" s="548"/>
      <c r="M78" s="560">
        <f t="shared" si="3"/>
        <v>92014848905</v>
      </c>
      <c r="N78" s="548"/>
      <c r="O78" s="560">
        <v>108702780694</v>
      </c>
    </row>
    <row r="79" spans="2:15" ht="24" customHeight="1">
      <c r="B79" s="543" t="s">
        <v>921</v>
      </c>
      <c r="C79" s="552" t="s">
        <v>1113</v>
      </c>
      <c r="D79" s="543"/>
      <c r="E79" s="560">
        <v>1680000000</v>
      </c>
      <c r="F79" s="561"/>
      <c r="G79" s="562">
        <v>0</v>
      </c>
      <c r="H79" s="563"/>
      <c r="I79" s="560">
        <f>G79+E79</f>
        <v>1680000000</v>
      </c>
      <c r="J79" s="563"/>
      <c r="K79" s="562">
        <v>0</v>
      </c>
      <c r="L79" s="548"/>
      <c r="M79" s="560">
        <f t="shared" si="3"/>
        <v>1680000000</v>
      </c>
      <c r="N79" s="548"/>
      <c r="O79" s="560">
        <v>2428350000</v>
      </c>
    </row>
    <row r="80" spans="2:15" ht="24" customHeight="1">
      <c r="B80" s="543" t="s">
        <v>922</v>
      </c>
      <c r="C80" s="552" t="s">
        <v>1114</v>
      </c>
      <c r="D80" s="543"/>
      <c r="E80" s="560">
        <v>766362488</v>
      </c>
      <c r="F80" s="561"/>
      <c r="G80" s="562">
        <v>0</v>
      </c>
      <c r="H80" s="563"/>
      <c r="I80" s="560">
        <f>E80</f>
        <v>766362488</v>
      </c>
      <c r="J80" s="563"/>
      <c r="K80" s="562">
        <v>0</v>
      </c>
      <c r="L80" s="548"/>
      <c r="M80" s="560">
        <f t="shared" si="3"/>
        <v>766362488</v>
      </c>
      <c r="N80" s="548"/>
      <c r="O80" s="560">
        <v>766362488</v>
      </c>
    </row>
    <row r="81" spans="2:15" ht="24" customHeight="1">
      <c r="B81" s="543" t="s">
        <v>923</v>
      </c>
      <c r="C81" s="552" t="s">
        <v>1115</v>
      </c>
      <c r="D81" s="543"/>
      <c r="E81" s="560">
        <v>1475087400</v>
      </c>
      <c r="F81" s="561"/>
      <c r="G81" s="562">
        <v>0</v>
      </c>
      <c r="H81" s="563"/>
      <c r="I81" s="560">
        <f>E81</f>
        <v>1475087400</v>
      </c>
      <c r="J81" s="563"/>
      <c r="K81" s="562">
        <v>0</v>
      </c>
      <c r="L81" s="548"/>
      <c r="M81" s="560">
        <f t="shared" si="3"/>
        <v>1475087400</v>
      </c>
      <c r="N81" s="548"/>
      <c r="O81" s="560">
        <v>1475087400</v>
      </c>
    </row>
    <row r="82" spans="2:15" ht="24" customHeight="1">
      <c r="B82" s="543" t="s">
        <v>930</v>
      </c>
      <c r="C82" s="552" t="s">
        <v>1116</v>
      </c>
      <c r="D82" s="543"/>
      <c r="E82" s="560">
        <v>233240000</v>
      </c>
      <c r="F82" s="561"/>
      <c r="G82" s="562">
        <v>0</v>
      </c>
      <c r="H82" s="563"/>
      <c r="I82" s="560">
        <v>233240000</v>
      </c>
      <c r="J82" s="563"/>
      <c r="K82" s="562">
        <v>0</v>
      </c>
      <c r="L82" s="548"/>
      <c r="M82" s="560">
        <f t="shared" si="3"/>
        <v>233240000</v>
      </c>
      <c r="N82" s="548"/>
      <c r="O82" s="560">
        <v>233240000</v>
      </c>
    </row>
    <row r="83" spans="2:15" ht="24" customHeight="1">
      <c r="B83" s="543" t="s">
        <v>741</v>
      </c>
      <c r="C83" s="552" t="s">
        <v>1117</v>
      </c>
      <c r="D83" s="543"/>
      <c r="E83" s="560">
        <v>40590493318</v>
      </c>
      <c r="F83" s="561"/>
      <c r="G83" s="562"/>
      <c r="H83" s="563"/>
      <c r="I83" s="560"/>
      <c r="J83" s="563"/>
      <c r="K83" s="562">
        <v>0</v>
      </c>
      <c r="L83" s="548"/>
      <c r="M83" s="560">
        <f>E83</f>
        <v>40590493318</v>
      </c>
      <c r="N83" s="548"/>
      <c r="O83" s="562">
        <v>0</v>
      </c>
    </row>
    <row r="84" spans="2:15" ht="24" customHeight="1">
      <c r="B84" s="543" t="s">
        <v>51</v>
      </c>
      <c r="C84" s="552" t="s">
        <v>1169</v>
      </c>
      <c r="D84" s="543"/>
      <c r="E84" s="560">
        <v>9320282168</v>
      </c>
      <c r="F84" s="561"/>
      <c r="G84" s="562">
        <v>0</v>
      </c>
      <c r="H84" s="563"/>
      <c r="I84" s="560">
        <f>E84</f>
        <v>9320282168</v>
      </c>
      <c r="J84" s="563"/>
      <c r="K84" s="562">
        <v>0</v>
      </c>
      <c r="L84" s="548"/>
      <c r="M84" s="560">
        <f t="shared" si="3"/>
        <v>9320282168</v>
      </c>
      <c r="N84" s="548"/>
      <c r="O84" s="560">
        <v>6619753376</v>
      </c>
    </row>
    <row r="85" spans="2:15" ht="22.5" customHeight="1" thickBot="1">
      <c r="B85" s="543"/>
      <c r="C85" s="543"/>
      <c r="D85" s="543"/>
      <c r="E85" s="564">
        <f>SUM(E77:E84)</f>
        <v>153008953457</v>
      </c>
      <c r="F85" s="565"/>
      <c r="G85" s="566">
        <v>0</v>
      </c>
      <c r="H85" s="565"/>
      <c r="I85" s="564">
        <f>SUM(I77:I84)</f>
        <v>112418460139</v>
      </c>
      <c r="J85" s="565"/>
      <c r="K85" s="566">
        <v>0</v>
      </c>
      <c r="L85" s="567"/>
      <c r="M85" s="564">
        <f>SUM(M77:M84)</f>
        <v>153008953457</v>
      </c>
      <c r="N85" s="567"/>
      <c r="O85" s="564">
        <f>SUM(O77:O84)</f>
        <v>120225573958</v>
      </c>
    </row>
    <row r="86" spans="2:15" ht="9" customHeight="1" thickTop="1">
      <c r="B86" s="543"/>
      <c r="C86" s="543"/>
      <c r="D86" s="543"/>
      <c r="E86" s="585"/>
      <c r="F86" s="565"/>
      <c r="G86" s="586"/>
      <c r="H86" s="565"/>
      <c r="I86" s="585"/>
      <c r="J86" s="565"/>
      <c r="K86" s="586"/>
      <c r="L86" s="567"/>
      <c r="M86" s="585"/>
      <c r="N86" s="567"/>
      <c r="O86" s="585"/>
    </row>
    <row r="87" spans="2:15" ht="93.75" customHeight="1">
      <c r="B87" s="785" t="s">
        <v>1173</v>
      </c>
      <c r="C87" s="785"/>
      <c r="D87" s="785"/>
      <c r="E87" s="785"/>
      <c r="F87" s="785"/>
      <c r="G87" s="785"/>
      <c r="H87" s="785"/>
      <c r="I87" s="785"/>
      <c r="J87" s="785"/>
      <c r="K87" s="785"/>
      <c r="L87" s="785"/>
      <c r="M87" s="785"/>
      <c r="N87" s="785"/>
      <c r="O87" s="785"/>
    </row>
    <row r="88" spans="2:15" ht="68.25" customHeight="1">
      <c r="B88" s="785" t="s">
        <v>1168</v>
      </c>
      <c r="C88" s="785"/>
      <c r="D88" s="785"/>
      <c r="E88" s="785"/>
      <c r="F88" s="785"/>
      <c r="G88" s="785"/>
      <c r="H88" s="785"/>
      <c r="I88" s="785"/>
      <c r="J88" s="785"/>
      <c r="K88" s="785"/>
      <c r="L88" s="785"/>
      <c r="M88" s="785"/>
      <c r="N88" s="785"/>
      <c r="O88" s="785"/>
    </row>
    <row r="89" spans="2:15" ht="57" customHeight="1">
      <c r="B89" s="785" t="s">
        <v>1171</v>
      </c>
      <c r="C89" s="785"/>
      <c r="D89" s="785"/>
      <c r="E89" s="785"/>
      <c r="F89" s="785"/>
      <c r="G89" s="785"/>
      <c r="H89" s="785"/>
      <c r="I89" s="785"/>
      <c r="J89" s="785"/>
      <c r="K89" s="785"/>
      <c r="L89" s="785"/>
      <c r="M89" s="785"/>
      <c r="N89" s="785"/>
      <c r="O89" s="785"/>
    </row>
    <row r="90" spans="2:15" ht="31.5" customHeight="1">
      <c r="B90" s="786" t="s">
        <v>1157</v>
      </c>
      <c r="C90" s="786"/>
      <c r="D90" s="786"/>
      <c r="E90" s="786"/>
      <c r="F90" s="786"/>
      <c r="G90" s="786"/>
      <c r="H90" s="786"/>
      <c r="I90" s="786"/>
      <c r="J90" s="786"/>
      <c r="K90" s="786"/>
      <c r="L90" s="786"/>
      <c r="M90" s="786"/>
      <c r="N90" s="786"/>
      <c r="O90" s="786"/>
    </row>
    <row r="91" spans="2:15" ht="38.25" customHeight="1">
      <c r="B91" s="786" t="s">
        <v>1130</v>
      </c>
      <c r="C91" s="786"/>
      <c r="D91" s="786"/>
      <c r="E91" s="786"/>
      <c r="F91" s="786"/>
      <c r="G91" s="786"/>
      <c r="H91" s="786"/>
      <c r="I91" s="786"/>
      <c r="J91" s="786"/>
      <c r="K91" s="786"/>
      <c r="L91" s="786"/>
      <c r="M91" s="786"/>
      <c r="N91" s="786"/>
      <c r="O91" s="786"/>
    </row>
    <row r="92" spans="2:15" ht="31.5" customHeight="1">
      <c r="B92" s="786" t="s">
        <v>1131</v>
      </c>
      <c r="C92" s="786"/>
      <c r="D92" s="786"/>
      <c r="E92" s="786"/>
      <c r="F92" s="786"/>
      <c r="G92" s="786"/>
      <c r="H92" s="786"/>
      <c r="I92" s="786"/>
      <c r="J92" s="786"/>
      <c r="K92" s="786"/>
      <c r="L92" s="786"/>
      <c r="M92" s="786"/>
      <c r="N92" s="786"/>
      <c r="O92" s="786"/>
    </row>
    <row r="93" spans="2:15" ht="63" customHeight="1">
      <c r="B93" s="785" t="s">
        <v>1170</v>
      </c>
      <c r="C93" s="785"/>
      <c r="D93" s="785"/>
      <c r="E93" s="785"/>
      <c r="F93" s="785"/>
      <c r="G93" s="785"/>
      <c r="H93" s="785"/>
      <c r="I93" s="785"/>
      <c r="J93" s="785"/>
      <c r="K93" s="785"/>
      <c r="L93" s="785"/>
      <c r="M93" s="785"/>
      <c r="N93" s="785"/>
      <c r="O93" s="785"/>
    </row>
    <row r="94" spans="2:15" ht="31.5" customHeight="1">
      <c r="B94" s="786" t="s">
        <v>1283</v>
      </c>
      <c r="C94" s="786"/>
      <c r="D94" s="786"/>
      <c r="E94" s="786"/>
      <c r="F94" s="786"/>
      <c r="G94" s="786"/>
      <c r="H94" s="786"/>
      <c r="I94" s="786"/>
      <c r="J94" s="786"/>
      <c r="K94" s="786"/>
      <c r="L94" s="786"/>
      <c r="M94" s="786"/>
      <c r="N94" s="786"/>
      <c r="O94" s="786"/>
    </row>
    <row r="95" spans="2:15" ht="29.25" customHeight="1">
      <c r="B95" s="786" t="s">
        <v>1118</v>
      </c>
      <c r="C95" s="786"/>
      <c r="D95" s="786"/>
      <c r="E95" s="786"/>
      <c r="F95" s="786"/>
      <c r="G95" s="786"/>
      <c r="H95" s="786"/>
      <c r="I95" s="786"/>
      <c r="J95" s="786"/>
      <c r="K95" s="786"/>
      <c r="L95" s="786"/>
      <c r="M95" s="786"/>
      <c r="N95" s="786"/>
      <c r="O95" s="786"/>
    </row>
    <row r="96" spans="2:15" ht="30" customHeight="1">
      <c r="B96" s="543"/>
      <c r="C96" s="543"/>
      <c r="D96" s="543"/>
      <c r="E96" s="787">
        <v>1402</v>
      </c>
      <c r="F96" s="787"/>
      <c r="G96" s="787"/>
      <c r="H96" s="787"/>
      <c r="I96" s="787"/>
      <c r="J96" s="787"/>
      <c r="K96" s="787"/>
      <c r="L96" s="787"/>
      <c r="M96" s="787"/>
      <c r="N96" s="568" t="e">
        <f>#REF!</f>
        <v>#REF!</v>
      </c>
      <c r="O96" s="569" t="s">
        <v>468</v>
      </c>
    </row>
    <row r="97" spans="2:15" ht="61.5">
      <c r="B97" s="543"/>
      <c r="C97" s="546" t="s">
        <v>116</v>
      </c>
      <c r="D97" s="543"/>
      <c r="E97" s="547" t="s">
        <v>18</v>
      </c>
      <c r="F97" s="548"/>
      <c r="G97" s="547" t="s">
        <v>19</v>
      </c>
      <c r="H97" s="548"/>
      <c r="I97" s="547" t="s">
        <v>24</v>
      </c>
      <c r="J97" s="548"/>
      <c r="K97" s="549" t="s">
        <v>25</v>
      </c>
      <c r="L97" s="548"/>
      <c r="M97" s="547" t="s">
        <v>26</v>
      </c>
      <c r="N97" s="548"/>
      <c r="O97" s="549" t="s">
        <v>26</v>
      </c>
    </row>
    <row r="98" spans="2:15" ht="30" customHeight="1">
      <c r="B98" s="543"/>
      <c r="C98" s="550"/>
      <c r="D98" s="543"/>
      <c r="E98" s="548" t="s">
        <v>102</v>
      </c>
      <c r="F98" s="548"/>
      <c r="G98" s="548" t="s">
        <v>102</v>
      </c>
      <c r="H98" s="548"/>
      <c r="I98" s="548" t="s">
        <v>102</v>
      </c>
      <c r="J98" s="548"/>
      <c r="K98" s="548" t="s">
        <v>102</v>
      </c>
      <c r="L98" s="548"/>
      <c r="M98" s="548" t="s">
        <v>102</v>
      </c>
      <c r="N98" s="548"/>
      <c r="O98" s="548" t="s">
        <v>102</v>
      </c>
    </row>
    <row r="99" spans="2:15" ht="24" customHeight="1">
      <c r="B99" s="543" t="s">
        <v>924</v>
      </c>
      <c r="C99" s="552" t="s">
        <v>1119</v>
      </c>
      <c r="D99" s="543"/>
      <c r="E99" s="560">
        <v>1100000000</v>
      </c>
      <c r="F99" s="561"/>
      <c r="G99" s="562">
        <v>0</v>
      </c>
      <c r="H99" s="563"/>
      <c r="I99" s="560">
        <f>E99</f>
        <v>1100000000</v>
      </c>
      <c r="J99" s="563"/>
      <c r="K99" s="562">
        <v>0</v>
      </c>
      <c r="L99" s="548"/>
      <c r="M99" s="560">
        <f>I99</f>
        <v>1100000000</v>
      </c>
      <c r="N99" s="548"/>
      <c r="O99" s="560">
        <v>368000000</v>
      </c>
    </row>
    <row r="100" spans="2:15" ht="24" customHeight="1">
      <c r="B100" s="543" t="s">
        <v>927</v>
      </c>
      <c r="C100" s="552" t="s">
        <v>1120</v>
      </c>
      <c r="D100" s="543"/>
      <c r="E100" s="560">
        <v>200000000</v>
      </c>
      <c r="F100" s="561"/>
      <c r="G100" s="562">
        <v>0</v>
      </c>
      <c r="H100" s="563"/>
      <c r="I100" s="560">
        <f>E100</f>
        <v>200000000</v>
      </c>
      <c r="J100" s="563"/>
      <c r="K100" s="562">
        <v>0</v>
      </c>
      <c r="L100" s="548"/>
      <c r="M100" s="560">
        <f>I100</f>
        <v>200000000</v>
      </c>
      <c r="N100" s="548"/>
      <c r="O100" s="560">
        <v>440000000</v>
      </c>
    </row>
    <row r="101" spans="2:15" ht="24" customHeight="1">
      <c r="B101" s="543" t="s">
        <v>928</v>
      </c>
      <c r="C101" s="552" t="s">
        <v>1121</v>
      </c>
      <c r="D101" s="543"/>
      <c r="E101" s="560">
        <v>247800000</v>
      </c>
      <c r="F101" s="561"/>
      <c r="G101" s="562">
        <v>0</v>
      </c>
      <c r="H101" s="563"/>
      <c r="I101" s="560">
        <f>E101</f>
        <v>247800000</v>
      </c>
      <c r="J101" s="563"/>
      <c r="K101" s="562">
        <v>0</v>
      </c>
      <c r="L101" s="548"/>
      <c r="M101" s="560">
        <f>I101</f>
        <v>247800000</v>
      </c>
      <c r="N101" s="548"/>
      <c r="O101" s="560">
        <v>137300000</v>
      </c>
    </row>
    <row r="102" spans="2:15" ht="24" customHeight="1">
      <c r="B102" s="543" t="s">
        <v>929</v>
      </c>
      <c r="C102" s="552" t="s">
        <v>1122</v>
      </c>
      <c r="D102" s="543"/>
      <c r="E102" s="560">
        <v>144000000</v>
      </c>
      <c r="F102" s="561"/>
      <c r="G102" s="562">
        <v>0</v>
      </c>
      <c r="H102" s="563"/>
      <c r="I102" s="560">
        <v>144000000</v>
      </c>
      <c r="J102" s="563"/>
      <c r="K102" s="562">
        <v>0</v>
      </c>
      <c r="L102" s="548"/>
      <c r="M102" s="560">
        <v>144000000</v>
      </c>
      <c r="N102" s="548"/>
      <c r="O102" s="560">
        <v>144000000</v>
      </c>
    </row>
    <row r="103" spans="2:15" ht="24" customHeight="1">
      <c r="B103" s="543" t="s">
        <v>931</v>
      </c>
      <c r="C103" s="552" t="s">
        <v>1123</v>
      </c>
      <c r="D103" s="543"/>
      <c r="E103" s="560">
        <v>200000000</v>
      </c>
      <c r="F103" s="561"/>
      <c r="G103" s="562">
        <v>0</v>
      </c>
      <c r="H103" s="563"/>
      <c r="I103" s="560">
        <f>E103</f>
        <v>200000000</v>
      </c>
      <c r="J103" s="563"/>
      <c r="K103" s="562">
        <v>0</v>
      </c>
      <c r="L103" s="548"/>
      <c r="M103" s="560">
        <f>I103</f>
        <v>200000000</v>
      </c>
      <c r="N103" s="548"/>
      <c r="O103" s="560">
        <v>240000000</v>
      </c>
    </row>
    <row r="104" spans="2:15" ht="24" customHeight="1">
      <c r="B104" s="543" t="s">
        <v>932</v>
      </c>
      <c r="C104" s="552" t="s">
        <v>1124</v>
      </c>
      <c r="D104" s="543"/>
      <c r="E104" s="560">
        <v>440000000</v>
      </c>
      <c r="F104" s="561"/>
      <c r="G104" s="562"/>
      <c r="H104" s="563"/>
      <c r="I104" s="560">
        <f>E104</f>
        <v>440000000</v>
      </c>
      <c r="J104" s="563"/>
      <c r="K104" s="562">
        <v>0</v>
      </c>
      <c r="L104" s="548"/>
      <c r="M104" s="560">
        <f>I104</f>
        <v>440000000</v>
      </c>
      <c r="N104" s="548"/>
      <c r="O104" s="560">
        <v>440000000</v>
      </c>
    </row>
    <row r="105" spans="2:15" ht="24" customHeight="1">
      <c r="B105" s="543" t="s">
        <v>51</v>
      </c>
      <c r="C105" s="552" t="s">
        <v>1125</v>
      </c>
      <c r="D105" s="543"/>
      <c r="E105" s="560">
        <v>14310823766</v>
      </c>
      <c r="F105" s="561"/>
      <c r="G105" s="562"/>
      <c r="H105" s="563"/>
      <c r="I105" s="560">
        <f>E105</f>
        <v>14310823766</v>
      </c>
      <c r="J105" s="563"/>
      <c r="K105" s="562">
        <v>0</v>
      </c>
      <c r="L105" s="548"/>
      <c r="M105" s="560">
        <f>I105</f>
        <v>14310823766</v>
      </c>
      <c r="N105" s="548"/>
      <c r="O105" s="560">
        <v>17672789845</v>
      </c>
    </row>
    <row r="106" spans="2:15" ht="22.5" customHeight="1" thickBot="1">
      <c r="B106" s="543"/>
      <c r="C106" s="543"/>
      <c r="D106" s="543"/>
      <c r="E106" s="564">
        <f>SUM(E99:E105)</f>
        <v>16642623766</v>
      </c>
      <c r="F106" s="565"/>
      <c r="G106" s="564">
        <v>0</v>
      </c>
      <c r="H106" s="565"/>
      <c r="I106" s="564">
        <f>SUM(I99:I105)</f>
        <v>16642623766</v>
      </c>
      <c r="J106" s="565"/>
      <c r="K106" s="664">
        <f>SUM(K99:K105)</f>
        <v>0</v>
      </c>
      <c r="L106" s="567"/>
      <c r="M106" s="564">
        <f>SUM(M99:N105)</f>
        <v>16642623766</v>
      </c>
      <c r="N106" s="567"/>
      <c r="O106" s="564">
        <f>SUM(O99:O105)</f>
        <v>19442089845</v>
      </c>
    </row>
    <row r="107" spans="2:15" ht="22.5" customHeight="1" thickTop="1">
      <c r="B107" s="543"/>
      <c r="C107" s="543"/>
      <c r="D107" s="543"/>
      <c r="E107" s="585"/>
      <c r="F107" s="565"/>
      <c r="G107" s="585"/>
      <c r="H107" s="565"/>
      <c r="I107" s="585"/>
      <c r="J107" s="565"/>
      <c r="K107" s="585"/>
      <c r="L107" s="567"/>
      <c r="M107" s="585"/>
      <c r="N107" s="567"/>
      <c r="O107" s="585"/>
    </row>
    <row r="108" spans="2:15" ht="30.75">
      <c r="B108" s="786" t="s">
        <v>1134</v>
      </c>
      <c r="C108" s="786"/>
      <c r="D108" s="786"/>
      <c r="E108" s="786"/>
      <c r="F108" s="786"/>
      <c r="G108" s="786"/>
      <c r="H108" s="786"/>
      <c r="I108" s="786"/>
      <c r="J108" s="786"/>
      <c r="K108" s="786"/>
      <c r="L108" s="786"/>
      <c r="M108" s="786"/>
      <c r="N108" s="786"/>
      <c r="O108" s="786"/>
    </row>
    <row r="109" spans="2:15" ht="30.75">
      <c r="B109" s="786" t="s">
        <v>1135</v>
      </c>
      <c r="C109" s="786"/>
      <c r="D109" s="786"/>
      <c r="E109" s="786"/>
      <c r="F109" s="786"/>
      <c r="G109" s="786"/>
      <c r="H109" s="786"/>
      <c r="I109" s="786"/>
      <c r="J109" s="786"/>
      <c r="K109" s="786"/>
      <c r="L109" s="786"/>
      <c r="M109" s="786"/>
      <c r="N109" s="786"/>
      <c r="O109" s="786"/>
    </row>
    <row r="110" spans="2:15" ht="33.75" customHeight="1">
      <c r="B110" s="786" t="s">
        <v>1136</v>
      </c>
      <c r="C110" s="786"/>
      <c r="D110" s="786"/>
      <c r="E110" s="786"/>
      <c r="F110" s="786"/>
      <c r="G110" s="786"/>
      <c r="H110" s="786"/>
      <c r="I110" s="786"/>
      <c r="J110" s="786"/>
      <c r="K110" s="786"/>
      <c r="L110" s="786"/>
      <c r="M110" s="786"/>
      <c r="N110" s="786"/>
      <c r="O110" s="786"/>
    </row>
    <row r="111" spans="2:15" ht="34.5" customHeight="1">
      <c r="B111" s="786" t="s">
        <v>1137</v>
      </c>
      <c r="C111" s="786"/>
      <c r="D111" s="786"/>
      <c r="E111" s="786"/>
      <c r="F111" s="786"/>
      <c r="G111" s="786"/>
      <c r="H111" s="786"/>
      <c r="I111" s="786"/>
      <c r="J111" s="786"/>
      <c r="K111" s="786"/>
      <c r="L111" s="786"/>
      <c r="M111" s="786"/>
      <c r="N111" s="786"/>
      <c r="O111" s="786"/>
    </row>
    <row r="112" spans="2:15" ht="30.75">
      <c r="B112" s="786" t="s">
        <v>1138</v>
      </c>
      <c r="C112" s="786"/>
      <c r="D112" s="786"/>
      <c r="E112" s="786"/>
      <c r="F112" s="786"/>
      <c r="G112" s="786"/>
      <c r="H112" s="786"/>
      <c r="I112" s="786"/>
      <c r="J112" s="786"/>
      <c r="K112" s="786"/>
      <c r="L112" s="786"/>
      <c r="M112" s="786"/>
      <c r="N112" s="786"/>
      <c r="O112" s="786"/>
    </row>
    <row r="113" spans="2:15" ht="30.75">
      <c r="B113" s="786" t="s">
        <v>1139</v>
      </c>
      <c r="C113" s="786"/>
      <c r="D113" s="786"/>
      <c r="E113" s="786"/>
      <c r="F113" s="786"/>
      <c r="G113" s="786"/>
      <c r="H113" s="786"/>
      <c r="I113" s="786"/>
      <c r="J113" s="786"/>
      <c r="K113" s="786"/>
      <c r="L113" s="786"/>
      <c r="M113" s="786"/>
      <c r="N113" s="786"/>
      <c r="O113" s="786"/>
    </row>
    <row r="114" spans="2:15" ht="30.75">
      <c r="B114" s="786" t="s">
        <v>1282</v>
      </c>
      <c r="C114" s="786"/>
      <c r="D114" s="786"/>
      <c r="E114" s="786"/>
      <c r="F114" s="786"/>
      <c r="G114" s="786"/>
      <c r="H114" s="786"/>
      <c r="I114" s="786"/>
      <c r="J114" s="786"/>
      <c r="K114" s="786"/>
      <c r="L114" s="786"/>
      <c r="M114" s="786"/>
      <c r="N114" s="786"/>
      <c r="O114" s="786"/>
    </row>
    <row r="115" spans="2:15" ht="30.75">
      <c r="B115" s="786" t="s">
        <v>1309</v>
      </c>
      <c r="C115" s="786"/>
      <c r="D115" s="786"/>
      <c r="E115" s="786"/>
      <c r="F115" s="786"/>
      <c r="G115" s="786"/>
      <c r="H115" s="786"/>
      <c r="I115" s="786"/>
      <c r="J115" s="786"/>
      <c r="K115" s="786"/>
      <c r="L115" s="786"/>
      <c r="M115" s="786"/>
      <c r="N115" s="786"/>
      <c r="O115" s="786"/>
    </row>
    <row r="116" spans="2:15" ht="30.75">
      <c r="B116" s="786" t="s">
        <v>1310</v>
      </c>
      <c r="C116" s="786"/>
      <c r="D116" s="786"/>
      <c r="E116" s="786"/>
      <c r="F116" s="786"/>
      <c r="G116" s="786"/>
      <c r="H116" s="786"/>
      <c r="I116" s="786"/>
      <c r="J116" s="786"/>
      <c r="K116" s="786"/>
      <c r="L116" s="786"/>
      <c r="M116" s="786"/>
      <c r="N116" s="786"/>
      <c r="O116" s="786"/>
    </row>
  </sheetData>
  <mergeCells count="48">
    <mergeCell ref="B116:O116"/>
    <mergeCell ref="B12:O12"/>
    <mergeCell ref="B45:O45"/>
    <mergeCell ref="B46:O46"/>
    <mergeCell ref="B60:O60"/>
    <mergeCell ref="B63:O63"/>
    <mergeCell ref="B51:O51"/>
    <mergeCell ref="E52:M52"/>
    <mergeCell ref="B61:O61"/>
    <mergeCell ref="B43:O43"/>
    <mergeCell ref="B44:O44"/>
    <mergeCell ref="B47:O47"/>
    <mergeCell ref="B48:O48"/>
    <mergeCell ref="B50:O50"/>
    <mergeCell ref="B49:O49"/>
    <mergeCell ref="B25:O25"/>
    <mergeCell ref="E26:M26"/>
    <mergeCell ref="A1:O1"/>
    <mergeCell ref="B2:O2"/>
    <mergeCell ref="B3:O3"/>
    <mergeCell ref="B5:O5"/>
    <mergeCell ref="E6:M6"/>
    <mergeCell ref="B41:O41"/>
    <mergeCell ref="B42:O42"/>
    <mergeCell ref="E13:M13"/>
    <mergeCell ref="B115:O115"/>
    <mergeCell ref="B108:O108"/>
    <mergeCell ref="B109:O109"/>
    <mergeCell ref="B110:O110"/>
    <mergeCell ref="B111:O111"/>
    <mergeCell ref="B112:O112"/>
    <mergeCell ref="B114:O114"/>
    <mergeCell ref="B62:O62"/>
    <mergeCell ref="E96:M96"/>
    <mergeCell ref="B89:O89"/>
    <mergeCell ref="B90:O90"/>
    <mergeCell ref="B113:O113"/>
    <mergeCell ref="B92:O92"/>
    <mergeCell ref="B93:O93"/>
    <mergeCell ref="B95:O95"/>
    <mergeCell ref="B73:O73"/>
    <mergeCell ref="E64:M64"/>
    <mergeCell ref="B72:O72"/>
    <mergeCell ref="B87:O87"/>
    <mergeCell ref="B71:O71"/>
    <mergeCell ref="B91:O91"/>
    <mergeCell ref="B88:O88"/>
    <mergeCell ref="B94:O94"/>
  </mergeCells>
  <phoneticPr fontId="101" type="noConversion"/>
  <printOptions horizontalCentered="1"/>
  <pageMargins left="0.55118110236220474" right="0.70866141732283472" top="0.47244094488188981" bottom="0.74803149606299213" header="0.31496062992125984" footer="0.31496062992125984"/>
  <pageSetup paperSize="9" scale="43" firstPageNumber="13" orientation="portrait" useFirstPageNumber="1" r:id="rId1"/>
  <headerFooter>
    <oddFooter>&amp;C&amp;"B Nazanin,Regular"&amp;18&amp;P</oddFooter>
  </headerFooter>
  <rowBreaks count="2" manualBreakCount="2">
    <brk id="24" max="14" man="1"/>
    <brk id="72"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rightToLeft="1" view="pageBreakPreview" topLeftCell="B1" zoomScaleNormal="100" zoomScaleSheetLayoutView="100" workbookViewId="0">
      <selection activeCell="P24" sqref="P24"/>
    </sheetView>
  </sheetViews>
  <sheetFormatPr defaultColWidth="9" defaultRowHeight="19.5"/>
  <cols>
    <col min="1" max="1" width="0.7109375" style="5" customWidth="1"/>
    <col min="2" max="2" width="20" style="19" customWidth="1"/>
    <col min="3" max="3" width="0.7109375" style="19" customWidth="1"/>
    <col min="4" max="4" width="23.140625" style="19" bestFit="1" customWidth="1"/>
    <col min="5" max="5" width="0.85546875" style="5" customWidth="1"/>
    <col min="6" max="6" width="16.7109375" style="14" customWidth="1"/>
    <col min="7" max="7" width="1.140625" style="5" customWidth="1"/>
    <col min="8" max="8" width="10.5703125" style="5" customWidth="1"/>
    <col min="9" max="9" width="0.42578125" style="5" customWidth="1"/>
    <col min="10" max="10" width="10.5703125" style="14" customWidth="1"/>
    <col min="11" max="11" width="0.42578125" style="5" customWidth="1"/>
    <col min="12" max="12" width="12" style="15" customWidth="1"/>
    <col min="13" max="13" width="0.7109375" style="15" customWidth="1"/>
    <col min="14" max="14" width="10.5703125" style="15" customWidth="1"/>
    <col min="15" max="15" width="2" style="5" customWidth="1"/>
    <col min="16" max="16" width="3.140625" style="5" customWidth="1"/>
    <col min="17" max="17" width="28.140625" style="5" customWidth="1"/>
    <col min="18" max="18" width="17.140625" style="5" customWidth="1"/>
    <col min="19" max="16384" width="9" style="5"/>
  </cols>
  <sheetData>
    <row r="1" spans="2:19" ht="20.25">
      <c r="B1" s="765" t="str">
        <f>مفروضات!$C$1</f>
        <v>دانشگاه علوم پزشکی و خدمات بهداشتی درمانی سمنان</v>
      </c>
      <c r="C1" s="766"/>
      <c r="D1" s="766"/>
      <c r="E1" s="766"/>
      <c r="F1" s="766"/>
      <c r="G1" s="766"/>
      <c r="H1" s="766"/>
      <c r="I1" s="766"/>
      <c r="J1" s="766"/>
      <c r="K1" s="766"/>
      <c r="L1" s="766"/>
      <c r="M1" s="766"/>
      <c r="N1" s="766"/>
      <c r="O1" s="4"/>
      <c r="P1" s="4"/>
      <c r="Q1" s="4"/>
      <c r="R1" s="4"/>
      <c r="S1" s="4"/>
    </row>
    <row r="2" spans="2:19" s="6" customFormat="1">
      <c r="B2" s="767" t="s">
        <v>33</v>
      </c>
      <c r="C2" s="767"/>
      <c r="D2" s="767"/>
      <c r="E2" s="767"/>
      <c r="F2" s="767"/>
      <c r="G2" s="767"/>
      <c r="H2" s="767"/>
      <c r="I2" s="767"/>
      <c r="J2" s="767"/>
      <c r="K2" s="767"/>
      <c r="L2" s="767"/>
      <c r="M2" s="767"/>
      <c r="N2" s="767"/>
      <c r="O2" s="7"/>
    </row>
    <row r="3" spans="2:19" ht="20.25">
      <c r="B3" s="767" t="str">
        <f>مفروضات!$C$7</f>
        <v>سال مالي منتهي به 29 اسفند ماه 1402</v>
      </c>
      <c r="C3" s="767"/>
      <c r="D3" s="767"/>
      <c r="E3" s="767"/>
      <c r="F3" s="767"/>
      <c r="G3" s="767"/>
      <c r="H3" s="767"/>
      <c r="I3" s="767"/>
      <c r="J3" s="767"/>
      <c r="K3" s="767"/>
      <c r="L3" s="767"/>
      <c r="M3" s="767"/>
      <c r="N3" s="767"/>
      <c r="O3" s="7"/>
      <c r="P3" s="6"/>
      <c r="Q3" s="6"/>
      <c r="R3" s="6"/>
      <c r="S3" s="6"/>
    </row>
    <row r="4" spans="2:19" ht="3.75" customHeight="1">
      <c r="B4" s="8"/>
      <c r="C4" s="8"/>
      <c r="D4" s="8"/>
      <c r="E4" s="9"/>
      <c r="F4" s="9"/>
      <c r="G4" s="9"/>
      <c r="H4" s="9"/>
      <c r="I4" s="9"/>
      <c r="J4" s="9"/>
      <c r="K4" s="9"/>
      <c r="L4" s="10"/>
      <c r="M4" s="10"/>
      <c r="N4" s="10"/>
      <c r="O4" s="9"/>
    </row>
    <row r="5" spans="2:19" ht="17.25" customHeight="1">
      <c r="B5" s="796" t="s">
        <v>16</v>
      </c>
      <c r="C5" s="796"/>
      <c r="D5" s="796"/>
      <c r="E5" s="796"/>
      <c r="F5" s="796"/>
      <c r="G5" s="796"/>
      <c r="H5" s="796"/>
      <c r="I5" s="796"/>
      <c r="J5" s="796"/>
      <c r="K5" s="796"/>
      <c r="L5" s="796"/>
      <c r="M5" s="796"/>
      <c r="N5" s="796"/>
      <c r="O5" s="6"/>
      <c r="P5" s="6"/>
      <c r="Q5" s="6"/>
      <c r="R5" s="6"/>
      <c r="S5" s="6"/>
    </row>
    <row r="6" spans="2:19" ht="21">
      <c r="B6" s="106"/>
      <c r="C6" s="106"/>
      <c r="D6" s="106"/>
      <c r="E6" s="105"/>
      <c r="F6" s="2"/>
      <c r="G6" s="2"/>
      <c r="H6" s="795">
        <f>مفروضات!$C$3</f>
        <v>1402</v>
      </c>
      <c r="I6" s="795"/>
      <c r="J6" s="795"/>
      <c r="K6" s="2"/>
      <c r="L6" s="798">
        <f>مفروضات!$C$4</f>
        <v>1401</v>
      </c>
      <c r="M6" s="798"/>
      <c r="N6" s="798"/>
      <c r="O6" s="18"/>
    </row>
    <row r="7" spans="2:19" ht="21">
      <c r="B7" s="106"/>
      <c r="C7" s="106"/>
      <c r="D7" s="106"/>
      <c r="E7" s="105"/>
      <c r="F7" s="188" t="s">
        <v>1</v>
      </c>
      <c r="G7" s="2"/>
      <c r="H7" s="186" t="s">
        <v>18</v>
      </c>
      <c r="I7" s="187"/>
      <c r="J7" s="186" t="s">
        <v>19</v>
      </c>
      <c r="K7" s="2"/>
      <c r="L7" s="186" t="s">
        <v>18</v>
      </c>
      <c r="M7" s="187"/>
      <c r="N7" s="186" t="s">
        <v>19</v>
      </c>
      <c r="O7" s="18"/>
    </row>
    <row r="8" spans="2:19" ht="21">
      <c r="B8" s="108"/>
      <c r="C8" s="108"/>
      <c r="D8" s="108"/>
      <c r="E8" s="85"/>
      <c r="F8" s="2"/>
      <c r="G8" s="2"/>
      <c r="H8" s="58" t="s">
        <v>70</v>
      </c>
      <c r="I8" s="2"/>
      <c r="J8" s="58" t="s">
        <v>70</v>
      </c>
      <c r="K8" s="2"/>
      <c r="L8" s="58" t="s">
        <v>70</v>
      </c>
      <c r="M8" s="2"/>
      <c r="N8" s="58" t="s">
        <v>70</v>
      </c>
    </row>
    <row r="9" spans="2:19" ht="19.5" customHeight="1">
      <c r="B9" s="799" t="s">
        <v>105</v>
      </c>
      <c r="C9" s="799"/>
      <c r="D9" s="799"/>
      <c r="F9" s="33" t="s">
        <v>206</v>
      </c>
      <c r="H9" s="295">
        <f>H25</f>
        <v>1295482256977</v>
      </c>
      <c r="I9" s="2"/>
      <c r="J9" s="135">
        <f>J25</f>
        <v>0</v>
      </c>
      <c r="K9" s="14"/>
      <c r="L9" s="295">
        <f>L25</f>
        <v>1063643355517</v>
      </c>
      <c r="M9" s="2"/>
      <c r="N9" s="135">
        <f>N25</f>
        <v>0</v>
      </c>
    </row>
    <row r="10" spans="2:19" ht="19.5" customHeight="1">
      <c r="B10" s="799" t="s">
        <v>65</v>
      </c>
      <c r="C10" s="799"/>
      <c r="D10" s="799"/>
      <c r="F10" s="33" t="s">
        <v>207</v>
      </c>
      <c r="H10" s="135">
        <f>H34</f>
        <v>0</v>
      </c>
      <c r="I10" s="2"/>
      <c r="J10" s="135">
        <f>J34</f>
        <v>0</v>
      </c>
      <c r="K10" s="14"/>
      <c r="L10" s="295">
        <f>L34</f>
        <v>147305867</v>
      </c>
      <c r="M10" s="2"/>
      <c r="N10" s="135">
        <f>N34</f>
        <v>0</v>
      </c>
    </row>
    <row r="11" spans="2:19" ht="19.5" customHeight="1" thickBot="1">
      <c r="B11" s="797"/>
      <c r="C11" s="797"/>
      <c r="D11" s="797"/>
      <c r="H11" s="296">
        <f>SUM(H9:H10)</f>
        <v>1295482256977</v>
      </c>
      <c r="I11" s="66"/>
      <c r="J11" s="136">
        <f>SUM(J9:J10)</f>
        <v>0</v>
      </c>
      <c r="K11" s="104"/>
      <c r="L11" s="296">
        <f>SUM(L9:L10)</f>
        <v>1063790661384</v>
      </c>
      <c r="M11" s="66"/>
      <c r="N11" s="136">
        <f>SUM(N9:N10)</f>
        <v>0</v>
      </c>
    </row>
    <row r="12" spans="2:19" s="6" customFormat="1" ht="5.25" customHeight="1" thickTop="1">
      <c r="B12" s="19"/>
      <c r="C12" s="19"/>
      <c r="D12" s="19"/>
      <c r="E12" s="5"/>
      <c r="F12" s="14"/>
      <c r="G12" s="5"/>
      <c r="H12" s="5"/>
      <c r="I12" s="5"/>
      <c r="J12" s="14"/>
      <c r="K12" s="5"/>
      <c r="L12" s="15"/>
      <c r="M12" s="15"/>
      <c r="N12" s="15"/>
      <c r="O12" s="5"/>
      <c r="P12" s="5"/>
      <c r="Q12" s="5"/>
      <c r="R12" s="5"/>
      <c r="S12" s="5"/>
    </row>
    <row r="13" spans="2:19" s="6" customFormat="1" ht="24" hidden="1" customHeight="1">
      <c r="B13" s="797"/>
      <c r="C13" s="797"/>
      <c r="D13" s="797"/>
      <c r="E13" s="797"/>
      <c r="F13" s="797"/>
      <c r="G13" s="797"/>
      <c r="H13" s="797"/>
      <c r="I13" s="797"/>
      <c r="J13" s="797"/>
      <c r="K13" s="797"/>
      <c r="L13" s="797"/>
      <c r="M13" s="797"/>
      <c r="N13" s="797"/>
      <c r="O13" s="5"/>
      <c r="P13" s="5"/>
      <c r="Q13" s="5"/>
      <c r="R13" s="5"/>
      <c r="S13" s="5"/>
    </row>
    <row r="14" spans="2:19" ht="21">
      <c r="B14" s="794" t="s">
        <v>291</v>
      </c>
      <c r="C14" s="794"/>
      <c r="D14" s="794"/>
      <c r="E14" s="794"/>
      <c r="F14" s="794"/>
      <c r="G14" s="794"/>
      <c r="H14" s="794"/>
      <c r="I14" s="72"/>
      <c r="J14" s="72"/>
      <c r="K14" s="72"/>
      <c r="L14" s="72"/>
      <c r="M14" s="72"/>
      <c r="N14" s="72"/>
      <c r="O14" s="6"/>
      <c r="P14" s="6"/>
      <c r="Q14" s="6"/>
      <c r="R14" s="6"/>
      <c r="S14" s="6"/>
    </row>
    <row r="15" spans="2:19" ht="15.75" customHeight="1">
      <c r="B15" s="106"/>
      <c r="C15" s="106"/>
      <c r="D15" s="106"/>
      <c r="E15" s="105"/>
      <c r="F15" s="105"/>
      <c r="G15" s="105"/>
      <c r="H15" s="795">
        <f>H6</f>
        <v>1402</v>
      </c>
      <c r="I15" s="795"/>
      <c r="J15" s="795"/>
      <c r="K15" s="87"/>
      <c r="L15" s="795">
        <f>L6</f>
        <v>1401</v>
      </c>
      <c r="M15" s="795"/>
      <c r="N15" s="795"/>
    </row>
    <row r="16" spans="2:19" ht="21">
      <c r="B16" s="130" t="s">
        <v>1010</v>
      </c>
      <c r="C16" s="80"/>
      <c r="D16" s="130" t="s">
        <v>145</v>
      </c>
      <c r="E16" s="2"/>
      <c r="F16" s="188" t="s">
        <v>2</v>
      </c>
      <c r="G16" s="105"/>
      <c r="H16" s="186" t="s">
        <v>18</v>
      </c>
      <c r="I16" s="187"/>
      <c r="J16" s="186" t="s">
        <v>19</v>
      </c>
      <c r="K16" s="2"/>
      <c r="L16" s="186" t="s">
        <v>18</v>
      </c>
      <c r="M16" s="187"/>
      <c r="N16" s="186" t="s">
        <v>19</v>
      </c>
    </row>
    <row r="17" spans="2:19" ht="21">
      <c r="B17" s="106"/>
      <c r="C17" s="106"/>
      <c r="D17" s="106"/>
      <c r="E17" s="105"/>
      <c r="F17" s="107"/>
      <c r="G17" s="107"/>
      <c r="H17" s="58" t="s">
        <v>70</v>
      </c>
      <c r="I17" s="2"/>
      <c r="J17" s="58" t="s">
        <v>70</v>
      </c>
      <c r="K17" s="2"/>
      <c r="L17" s="58" t="s">
        <v>70</v>
      </c>
      <c r="M17" s="2"/>
      <c r="N17" s="58" t="s">
        <v>70</v>
      </c>
    </row>
    <row r="18" spans="2:19" ht="21">
      <c r="B18" s="80" t="s">
        <v>1011</v>
      </c>
      <c r="C18" s="45"/>
      <c r="D18" s="80" t="s">
        <v>169</v>
      </c>
      <c r="E18" s="21"/>
      <c r="F18" s="18" t="s">
        <v>662</v>
      </c>
      <c r="G18" s="18"/>
      <c r="H18" s="295">
        <v>570375181555</v>
      </c>
      <c r="I18" s="2"/>
      <c r="J18" s="135">
        <v>0</v>
      </c>
      <c r="L18" s="295">
        <v>115599214756</v>
      </c>
      <c r="M18" s="2"/>
      <c r="N18" s="135">
        <v>0</v>
      </c>
    </row>
    <row r="19" spans="2:19" ht="21">
      <c r="B19" s="80" t="s">
        <v>1011</v>
      </c>
      <c r="C19" s="45"/>
      <c r="D19" s="80" t="s">
        <v>337</v>
      </c>
      <c r="E19" s="21"/>
      <c r="F19" s="18" t="s">
        <v>662</v>
      </c>
      <c r="G19" s="18"/>
      <c r="H19" s="295">
        <v>29514217628</v>
      </c>
      <c r="I19" s="2"/>
      <c r="J19" s="135">
        <v>0</v>
      </c>
      <c r="L19" s="295">
        <v>248735814173</v>
      </c>
      <c r="M19" s="2"/>
      <c r="N19" s="135">
        <v>0</v>
      </c>
    </row>
    <row r="20" spans="2:19" ht="21">
      <c r="B20" s="80" t="s">
        <v>1012</v>
      </c>
      <c r="C20" s="45"/>
      <c r="D20" s="80" t="s">
        <v>337</v>
      </c>
      <c r="E20" s="21"/>
      <c r="F20" s="18" t="s">
        <v>666</v>
      </c>
      <c r="G20" s="18"/>
      <c r="H20" s="295">
        <v>15444600</v>
      </c>
      <c r="I20" s="2"/>
      <c r="J20" s="135">
        <v>0</v>
      </c>
      <c r="K20" s="135">
        <v>0</v>
      </c>
      <c r="L20" s="135">
        <v>0</v>
      </c>
      <c r="M20" s="135">
        <v>0</v>
      </c>
      <c r="N20" s="135">
        <v>0</v>
      </c>
    </row>
    <row r="21" spans="2:19" ht="21">
      <c r="B21" s="80" t="s">
        <v>1011</v>
      </c>
      <c r="C21" s="45"/>
      <c r="D21" s="80" t="s">
        <v>146</v>
      </c>
      <c r="E21" s="21"/>
      <c r="F21" s="18" t="s">
        <v>662</v>
      </c>
      <c r="G21" s="18"/>
      <c r="H21" s="295">
        <v>579325710723</v>
      </c>
      <c r="I21" s="2"/>
      <c r="J21" s="135">
        <v>0</v>
      </c>
      <c r="L21" s="295">
        <v>315700562157</v>
      </c>
      <c r="M21" s="2"/>
      <c r="N21" s="135">
        <v>0</v>
      </c>
    </row>
    <row r="22" spans="2:19" ht="21">
      <c r="B22" s="80" t="s">
        <v>1011</v>
      </c>
      <c r="C22" s="45"/>
      <c r="D22" s="80" t="s">
        <v>392</v>
      </c>
      <c r="E22" s="21"/>
      <c r="F22" s="18" t="s">
        <v>662</v>
      </c>
      <c r="G22" s="18"/>
      <c r="H22" s="295">
        <v>3700000000</v>
      </c>
      <c r="I22" s="2"/>
      <c r="J22" s="135">
        <v>0</v>
      </c>
      <c r="L22" s="295">
        <v>6334577298</v>
      </c>
      <c r="M22" s="2"/>
      <c r="N22" s="135">
        <v>0</v>
      </c>
    </row>
    <row r="23" spans="2:19" ht="21">
      <c r="B23" s="80" t="s">
        <v>1011</v>
      </c>
      <c r="D23" s="80" t="s">
        <v>417</v>
      </c>
      <c r="F23" s="18" t="s">
        <v>662</v>
      </c>
      <c r="H23" s="295">
        <f>31893523772+16429073906+54996637685</f>
        <v>103319235363</v>
      </c>
      <c r="I23" s="2"/>
      <c r="J23" s="135">
        <v>0</v>
      </c>
      <c r="L23" s="295">
        <f>241308665171+54818937869+75388616985</f>
        <v>371516220025</v>
      </c>
      <c r="M23" s="2"/>
      <c r="N23" s="135">
        <v>0</v>
      </c>
    </row>
    <row r="24" spans="2:19" ht="21">
      <c r="B24" s="80" t="s">
        <v>1011</v>
      </c>
      <c r="D24" s="80" t="s">
        <v>663</v>
      </c>
      <c r="F24" s="18" t="s">
        <v>664</v>
      </c>
      <c r="H24" s="295">
        <v>9232467108</v>
      </c>
      <c r="I24" s="2"/>
      <c r="J24" s="135">
        <v>0</v>
      </c>
      <c r="L24" s="295">
        <v>5756967108</v>
      </c>
      <c r="M24" s="2"/>
      <c r="N24" s="135">
        <v>0</v>
      </c>
    </row>
    <row r="25" spans="2:19" ht="17.25" customHeight="1" thickBot="1">
      <c r="F25" s="5"/>
      <c r="H25" s="296">
        <f>SUM(H18:H24)</f>
        <v>1295482256977</v>
      </c>
      <c r="I25" s="66"/>
      <c r="J25" s="136">
        <f>SUM(J18:J24)</f>
        <v>0</v>
      </c>
      <c r="K25" s="65"/>
      <c r="L25" s="296">
        <f>SUM(L18:L24)</f>
        <v>1063643355517</v>
      </c>
      <c r="M25" s="66"/>
      <c r="N25" s="136">
        <f>SUM(N18:N24)</f>
        <v>0</v>
      </c>
    </row>
    <row r="26" spans="2:19" ht="3.75" customHeight="1" thickTop="1">
      <c r="B26" s="802"/>
      <c r="C26" s="802"/>
      <c r="D26" s="802"/>
      <c r="E26" s="802"/>
      <c r="F26" s="802"/>
      <c r="G26" s="802"/>
      <c r="H26" s="802"/>
      <c r="I26" s="802"/>
      <c r="J26" s="802"/>
      <c r="K26" s="802"/>
      <c r="L26" s="802"/>
      <c r="M26" s="802"/>
      <c r="N26" s="802"/>
    </row>
    <row r="27" spans="2:19" ht="42" customHeight="1">
      <c r="B27" s="800" t="s">
        <v>1039</v>
      </c>
      <c r="C27" s="800"/>
      <c r="D27" s="800"/>
      <c r="E27" s="800"/>
      <c r="F27" s="800"/>
      <c r="G27" s="800"/>
      <c r="H27" s="800"/>
      <c r="I27" s="800"/>
      <c r="J27" s="800"/>
      <c r="K27" s="800"/>
      <c r="L27" s="800"/>
      <c r="M27" s="800"/>
      <c r="N27" s="800"/>
    </row>
    <row r="28" spans="2:19" ht="21">
      <c r="B28" s="794" t="s">
        <v>292</v>
      </c>
      <c r="C28" s="794"/>
      <c r="D28" s="794"/>
      <c r="E28" s="794"/>
      <c r="F28" s="794"/>
      <c r="G28" s="794"/>
      <c r="H28" s="794"/>
      <c r="I28" s="72"/>
      <c r="J28" s="72"/>
      <c r="K28" s="72"/>
      <c r="L28" s="72"/>
      <c r="M28" s="72"/>
      <c r="N28" s="72"/>
      <c r="O28" s="6"/>
      <c r="P28" s="6"/>
      <c r="Q28" s="6"/>
      <c r="R28" s="6"/>
      <c r="S28" s="6"/>
    </row>
    <row r="29" spans="2:19" ht="2.25" customHeight="1">
      <c r="B29" s="45"/>
      <c r="C29" s="45"/>
      <c r="D29" s="45"/>
      <c r="E29" s="22"/>
      <c r="O29" s="14"/>
    </row>
    <row r="30" spans="2:19" ht="21">
      <c r="B30" s="106"/>
      <c r="C30" s="106"/>
      <c r="D30" s="106"/>
      <c r="E30" s="105"/>
      <c r="F30" s="105"/>
      <c r="G30" s="105"/>
      <c r="H30" s="795">
        <f>H15</f>
        <v>1402</v>
      </c>
      <c r="I30" s="795"/>
      <c r="J30" s="795"/>
      <c r="K30" s="87"/>
      <c r="L30" s="795">
        <f>L15</f>
        <v>1401</v>
      </c>
      <c r="M30" s="795"/>
      <c r="N30" s="795"/>
    </row>
    <row r="31" spans="2:19" ht="21">
      <c r="B31" s="130" t="s">
        <v>17</v>
      </c>
      <c r="C31" s="80"/>
      <c r="D31" s="803" t="s">
        <v>2</v>
      </c>
      <c r="E31" s="803"/>
      <c r="F31" s="803"/>
      <c r="G31" s="105"/>
      <c r="H31" s="186" t="s">
        <v>18</v>
      </c>
      <c r="I31" s="187"/>
      <c r="J31" s="186" t="s">
        <v>19</v>
      </c>
      <c r="K31" s="2"/>
      <c r="L31" s="186" t="s">
        <v>18</v>
      </c>
      <c r="M31" s="187"/>
      <c r="N31" s="186" t="s">
        <v>19</v>
      </c>
    </row>
    <row r="32" spans="2:19" ht="21">
      <c r="B32" s="106"/>
      <c r="C32" s="106"/>
      <c r="D32" s="804"/>
      <c r="E32" s="804"/>
      <c r="F32" s="804"/>
      <c r="G32" s="107"/>
      <c r="H32" s="58" t="s">
        <v>70</v>
      </c>
      <c r="I32" s="2"/>
      <c r="J32" s="58" t="s">
        <v>70</v>
      </c>
      <c r="K32" s="2"/>
      <c r="L32" s="58" t="s">
        <v>70</v>
      </c>
      <c r="M32" s="2"/>
      <c r="N32" s="58" t="s">
        <v>70</v>
      </c>
    </row>
    <row r="33" spans="1:19" ht="18.75" customHeight="1">
      <c r="B33" s="45" t="s">
        <v>665</v>
      </c>
      <c r="C33" s="45"/>
      <c r="D33" s="805">
        <v>275682110</v>
      </c>
      <c r="E33" s="805"/>
      <c r="F33" s="805"/>
      <c r="G33" s="18"/>
      <c r="H33" s="135">
        <v>0</v>
      </c>
      <c r="J33" s="135">
        <v>0</v>
      </c>
      <c r="L33" s="295">
        <v>147305867</v>
      </c>
      <c r="M33" s="2"/>
      <c r="N33" s="135">
        <v>0</v>
      </c>
    </row>
    <row r="34" spans="1:19" ht="21" thickBot="1">
      <c r="F34" s="5"/>
      <c r="H34" s="136">
        <f>SUM(H33:H33)</f>
        <v>0</v>
      </c>
      <c r="I34" s="66"/>
      <c r="J34" s="136">
        <f>SUM(J33:J33)</f>
        <v>0</v>
      </c>
      <c r="K34" s="65"/>
      <c r="L34" s="296">
        <f>SUM(L33:L33)</f>
        <v>147305867</v>
      </c>
      <c r="M34" s="66"/>
      <c r="N34" s="136">
        <f>SUM(N33:N33)</f>
        <v>0</v>
      </c>
    </row>
    <row r="35" spans="1:19" ht="4.5" customHeight="1" thickTop="1">
      <c r="B35" s="45"/>
      <c r="C35" s="45"/>
      <c r="D35" s="16"/>
      <c r="E35" s="16"/>
      <c r="F35" s="16"/>
      <c r="G35" s="18"/>
      <c r="H35" s="66"/>
      <c r="I35" s="66"/>
      <c r="J35" s="66"/>
      <c r="K35" s="65"/>
      <c r="L35" s="66"/>
      <c r="M35" s="66"/>
      <c r="N35" s="66"/>
    </row>
    <row r="36" spans="1:19" s="23" customFormat="1" ht="20.25">
      <c r="B36" s="19"/>
      <c r="C36" s="19"/>
      <c r="D36" s="19"/>
      <c r="E36" s="5"/>
      <c r="F36" s="14"/>
      <c r="G36" s="5"/>
      <c r="H36" s="66"/>
      <c r="I36" s="66"/>
      <c r="J36" s="66"/>
      <c r="K36" s="65"/>
      <c r="L36" s="66"/>
      <c r="M36" s="66"/>
      <c r="N36" s="66"/>
      <c r="O36" s="5"/>
      <c r="P36" s="5"/>
      <c r="Q36" s="218"/>
      <c r="R36" s="218"/>
      <c r="S36" s="5"/>
    </row>
    <row r="37" spans="1:19">
      <c r="A37" s="801"/>
      <c r="B37" s="801"/>
      <c r="C37" s="801"/>
      <c r="D37" s="801"/>
      <c r="E37" s="801"/>
      <c r="F37" s="801"/>
      <c r="G37" s="801"/>
      <c r="H37" s="801"/>
      <c r="I37" s="801"/>
      <c r="J37" s="801"/>
      <c r="K37" s="801"/>
      <c r="L37" s="801"/>
      <c r="M37" s="801"/>
      <c r="N37" s="801"/>
    </row>
    <row r="38" spans="1:19">
      <c r="H38"/>
      <c r="I38"/>
      <c r="J38"/>
      <c r="K38"/>
      <c r="L38"/>
      <c r="M38"/>
      <c r="N38"/>
    </row>
    <row r="39" spans="1:19">
      <c r="H39"/>
      <c r="I39"/>
      <c r="J39"/>
      <c r="K39"/>
      <c r="L39"/>
      <c r="M39"/>
      <c r="N39"/>
    </row>
  </sheetData>
  <mergeCells count="22">
    <mergeCell ref="A37:N37"/>
    <mergeCell ref="L15:N15"/>
    <mergeCell ref="H30:J30"/>
    <mergeCell ref="L30:N30"/>
    <mergeCell ref="B26:N26"/>
    <mergeCell ref="D31:F31"/>
    <mergeCell ref="D32:F32"/>
    <mergeCell ref="D33:F33"/>
    <mergeCell ref="B14:H14"/>
    <mergeCell ref="B28:H28"/>
    <mergeCell ref="H15:J15"/>
    <mergeCell ref="B1:N1"/>
    <mergeCell ref="B5:N5"/>
    <mergeCell ref="B13:N13"/>
    <mergeCell ref="H6:J6"/>
    <mergeCell ref="L6:N6"/>
    <mergeCell ref="B2:N2"/>
    <mergeCell ref="B3:N3"/>
    <mergeCell ref="B10:D10"/>
    <mergeCell ref="B9:D9"/>
    <mergeCell ref="B11:D11"/>
    <mergeCell ref="B27:N27"/>
  </mergeCells>
  <printOptions horizontalCentered="1"/>
  <pageMargins left="3.937007874015748E-2" right="3.937007874015748E-2" top="3.937007874015748E-2" bottom="3.937007874015748E-2" header="3.937007874015748E-2" footer="3.937007874015748E-2"/>
  <pageSetup paperSize="9" scale="73" firstPageNumber="12" orientation="portrait" useFirstPageNumber="1" r:id="rId1"/>
  <headerFooter>
    <oddFooter>&amp;C&amp;"B Nazanin,Regular"&amp;P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rightToLeft="1" topLeftCell="A16" zoomScale="120" zoomScaleNormal="120" zoomScaleSheetLayoutView="100" workbookViewId="0">
      <selection activeCell="B10" sqref="B10"/>
    </sheetView>
  </sheetViews>
  <sheetFormatPr defaultColWidth="9" defaultRowHeight="19.5"/>
  <cols>
    <col min="1" max="1" width="2.7109375" style="5" customWidth="1"/>
    <col min="2" max="2" width="36.85546875" style="19" customWidth="1"/>
    <col min="3" max="3" width="9.28515625" style="5" customWidth="1"/>
    <col min="4" max="4" width="0.42578125" style="5" customWidth="1"/>
    <col min="5" max="5" width="10" style="5" customWidth="1"/>
    <col min="6" max="6" width="0.42578125" style="5" customWidth="1"/>
    <col min="7" max="7" width="9.140625" style="14" hidden="1" customWidth="1"/>
    <col min="8" max="8" width="0.42578125" style="5" hidden="1" customWidth="1"/>
    <col min="9" max="9" width="16" style="14" hidden="1" customWidth="1"/>
    <col min="10" max="10" width="0.42578125" style="5" customWidth="1"/>
    <col min="11" max="11" width="23" style="15" customWidth="1"/>
    <col min="12" max="12" width="0.42578125" style="15" customWidth="1"/>
    <col min="13" max="13" width="13.85546875" style="15" customWidth="1"/>
    <col min="14" max="14" width="0.42578125" style="15" customWidth="1"/>
    <col min="15" max="15" width="17" style="15" customWidth="1"/>
    <col min="16" max="16" width="3.140625" style="5" customWidth="1"/>
    <col min="17" max="17" width="28.140625" style="5" customWidth="1"/>
    <col min="18" max="18" width="17.140625" style="5" customWidth="1"/>
    <col min="19" max="16384" width="9" style="5"/>
  </cols>
  <sheetData>
    <row r="1" spans="1:19" ht="21">
      <c r="A1" s="807" t="str">
        <f>مفروضات!$C$1</f>
        <v>دانشگاه علوم پزشکی و خدمات بهداشتی درمانی سمنان</v>
      </c>
      <c r="B1" s="808"/>
      <c r="C1" s="808"/>
      <c r="D1" s="808"/>
      <c r="E1" s="808"/>
      <c r="F1" s="808"/>
      <c r="G1" s="808"/>
      <c r="H1" s="808"/>
      <c r="I1" s="808"/>
      <c r="J1" s="808"/>
      <c r="K1" s="808"/>
      <c r="L1" s="808"/>
      <c r="M1" s="808"/>
      <c r="N1" s="808"/>
      <c r="O1" s="808"/>
      <c r="P1" s="4"/>
      <c r="Q1" s="4"/>
      <c r="R1" s="4"/>
      <c r="S1" s="4"/>
    </row>
    <row r="2" spans="1:19" s="6" customFormat="1" ht="21">
      <c r="A2" s="26"/>
      <c r="B2" s="809" t="s">
        <v>33</v>
      </c>
      <c r="C2" s="809"/>
      <c r="D2" s="809"/>
      <c r="E2" s="809"/>
      <c r="F2" s="809"/>
      <c r="G2" s="809"/>
      <c r="H2" s="809"/>
      <c r="I2" s="809"/>
      <c r="J2" s="809"/>
      <c r="K2" s="809"/>
      <c r="L2" s="809"/>
      <c r="M2" s="809"/>
      <c r="N2" s="809"/>
      <c r="O2" s="809"/>
    </row>
    <row r="3" spans="1:19" ht="21">
      <c r="A3" s="26"/>
      <c r="B3" s="809" t="str">
        <f>مفروضات!$C$7</f>
        <v>سال مالي منتهي به 29 اسفند ماه 1402</v>
      </c>
      <c r="C3" s="809"/>
      <c r="D3" s="809"/>
      <c r="E3" s="809"/>
      <c r="F3" s="809"/>
      <c r="G3" s="809"/>
      <c r="H3" s="809"/>
      <c r="I3" s="809"/>
      <c r="J3" s="809"/>
      <c r="K3" s="809"/>
      <c r="L3" s="809"/>
      <c r="M3" s="809"/>
      <c r="N3" s="809"/>
      <c r="O3" s="809"/>
      <c r="P3" s="6"/>
      <c r="Q3" s="6"/>
      <c r="R3" s="6"/>
      <c r="S3" s="6"/>
    </row>
    <row r="4" spans="1:19" ht="21">
      <c r="A4" s="26"/>
      <c r="B4" s="796" t="s">
        <v>990</v>
      </c>
      <c r="C4" s="796"/>
      <c r="D4" s="796"/>
      <c r="E4" s="796"/>
      <c r="F4" s="796"/>
      <c r="G4" s="796"/>
      <c r="H4" s="796"/>
      <c r="I4" s="796"/>
      <c r="J4" s="796"/>
      <c r="K4" s="796"/>
      <c r="L4" s="796"/>
      <c r="M4" s="796"/>
      <c r="N4" s="796"/>
      <c r="O4" s="796"/>
      <c r="P4" s="6"/>
      <c r="Q4" s="6"/>
      <c r="R4" s="6"/>
      <c r="S4" s="6"/>
    </row>
    <row r="5" spans="1:19" ht="21">
      <c r="A5" s="1"/>
      <c r="B5" s="59"/>
      <c r="C5" s="31"/>
      <c r="D5" s="31"/>
      <c r="E5" s="795">
        <f>مفروضات!$C$3</f>
        <v>1402</v>
      </c>
      <c r="F5" s="795"/>
      <c r="G5" s="795"/>
      <c r="H5" s="795"/>
      <c r="I5" s="795"/>
      <c r="J5" s="795"/>
      <c r="K5" s="795"/>
      <c r="L5" s="795"/>
      <c r="M5" s="795"/>
      <c r="N5" s="33"/>
      <c r="O5" s="32">
        <f>مفروضات!$C$4</f>
        <v>1401</v>
      </c>
    </row>
    <row r="6" spans="1:19" ht="42">
      <c r="A6" s="1"/>
      <c r="B6" s="3"/>
      <c r="C6" s="188" t="s">
        <v>116</v>
      </c>
      <c r="D6" s="1"/>
      <c r="E6" s="190" t="s">
        <v>18</v>
      </c>
      <c r="F6" s="2"/>
      <c r="G6" s="190" t="s">
        <v>19</v>
      </c>
      <c r="H6" s="2"/>
      <c r="I6" s="190" t="s">
        <v>24</v>
      </c>
      <c r="J6" s="2"/>
      <c r="K6" s="186" t="s">
        <v>25</v>
      </c>
      <c r="L6" s="2"/>
      <c r="M6" s="190" t="s">
        <v>26</v>
      </c>
      <c r="N6" s="2"/>
      <c r="O6" s="186" t="s">
        <v>26</v>
      </c>
    </row>
    <row r="7" spans="1:19" ht="21">
      <c r="A7" s="1"/>
      <c r="B7" s="3"/>
      <c r="C7" s="1"/>
      <c r="D7" s="1"/>
      <c r="E7" s="2" t="s">
        <v>102</v>
      </c>
      <c r="F7" s="2"/>
      <c r="G7" s="2" t="s">
        <v>102</v>
      </c>
      <c r="H7" s="2"/>
      <c r="I7" s="2" t="s">
        <v>102</v>
      </c>
      <c r="J7" s="2"/>
      <c r="K7" s="2" t="s">
        <v>102</v>
      </c>
      <c r="L7" s="2"/>
      <c r="M7" s="2" t="s">
        <v>102</v>
      </c>
      <c r="N7" s="2"/>
      <c r="O7" s="2" t="s">
        <v>102</v>
      </c>
    </row>
    <row r="8" spans="1:19" ht="21">
      <c r="A8" s="1"/>
      <c r="B8" s="55" t="s">
        <v>1021</v>
      </c>
      <c r="C8" s="52"/>
      <c r="D8" s="55"/>
      <c r="E8" s="430">
        <v>32291312069</v>
      </c>
      <c r="F8" s="576"/>
      <c r="G8" s="430">
        <v>0</v>
      </c>
      <c r="H8" s="442"/>
      <c r="I8" s="430">
        <f>E8</f>
        <v>32291312069</v>
      </c>
      <c r="J8" s="442"/>
      <c r="K8" s="430" t="s">
        <v>455</v>
      </c>
      <c r="L8" s="444"/>
      <c r="M8" s="430">
        <f>E8</f>
        <v>32291312069</v>
      </c>
      <c r="N8" s="430"/>
      <c r="O8" s="430">
        <v>32291312069</v>
      </c>
    </row>
    <row r="9" spans="1:19" s="37" customFormat="1" ht="22.5">
      <c r="A9" s="1"/>
      <c r="B9" s="55" t="s">
        <v>1020</v>
      </c>
      <c r="C9" s="52"/>
      <c r="D9" s="44"/>
      <c r="E9" s="430">
        <v>21700000000</v>
      </c>
      <c r="F9" s="577"/>
      <c r="G9" s="430">
        <v>0</v>
      </c>
      <c r="H9" s="442"/>
      <c r="I9" s="430">
        <f>E9</f>
        <v>21700000000</v>
      </c>
      <c r="J9" s="442"/>
      <c r="K9" s="430" t="s">
        <v>43</v>
      </c>
      <c r="L9" s="444"/>
      <c r="M9" s="430">
        <f>I9</f>
        <v>21700000000</v>
      </c>
      <c r="N9" s="430"/>
      <c r="O9" s="430">
        <v>7300000000</v>
      </c>
    </row>
    <row r="10" spans="1:19" s="37" customFormat="1" ht="22.5">
      <c r="A10" s="1"/>
      <c r="B10" s="55" t="s">
        <v>1144</v>
      </c>
      <c r="C10" s="52" t="s">
        <v>1126</v>
      </c>
      <c r="D10" s="44"/>
      <c r="E10" s="430">
        <v>602177000000</v>
      </c>
      <c r="F10" s="577"/>
      <c r="G10" s="430"/>
      <c r="H10" s="442"/>
      <c r="I10" s="430"/>
      <c r="J10" s="442"/>
      <c r="K10" s="430"/>
      <c r="L10" s="444"/>
      <c r="M10" s="430">
        <f>E10</f>
        <v>602177000000</v>
      </c>
      <c r="N10" s="444"/>
      <c r="O10" s="430">
        <v>13377000000</v>
      </c>
    </row>
    <row r="11" spans="1:19" s="37" customFormat="1" ht="22.5">
      <c r="A11" s="1"/>
      <c r="B11" s="55" t="s">
        <v>525</v>
      </c>
      <c r="C11" s="52" t="s">
        <v>1155</v>
      </c>
      <c r="D11" s="44"/>
      <c r="E11" s="430">
        <f>C22</f>
        <v>131723735621</v>
      </c>
      <c r="F11" s="577"/>
      <c r="G11" s="430">
        <v>0</v>
      </c>
      <c r="H11" s="442"/>
      <c r="I11" s="430">
        <f>M11</f>
        <v>131723735621</v>
      </c>
      <c r="J11" s="442"/>
      <c r="K11" s="430" t="s">
        <v>43</v>
      </c>
      <c r="L11" s="444"/>
      <c r="M11" s="430">
        <f>C22</f>
        <v>131723735621</v>
      </c>
      <c r="N11" s="444"/>
      <c r="O11" s="430">
        <f>E22</f>
        <v>168212899555</v>
      </c>
    </row>
    <row r="12" spans="1:19" s="37" customFormat="1" ht="22.5">
      <c r="A12" s="1"/>
      <c r="B12" s="55" t="s">
        <v>526</v>
      </c>
      <c r="C12" s="44"/>
      <c r="D12" s="44"/>
      <c r="E12" s="430">
        <v>380000040</v>
      </c>
      <c r="F12" s="577"/>
      <c r="G12" s="430">
        <v>0</v>
      </c>
      <c r="H12" s="442"/>
      <c r="I12" s="430">
        <f>E12</f>
        <v>380000040</v>
      </c>
      <c r="J12" s="442"/>
      <c r="K12" s="430" t="s">
        <v>455</v>
      </c>
      <c r="L12" s="444"/>
      <c r="M12" s="430">
        <f>E12</f>
        <v>380000040</v>
      </c>
      <c r="N12" s="444"/>
      <c r="O12" s="129">
        <v>0</v>
      </c>
    </row>
    <row r="13" spans="1:19" s="37" customFormat="1" ht="42">
      <c r="A13" s="1"/>
      <c r="B13" s="55" t="s">
        <v>1143</v>
      </c>
      <c r="C13" s="44"/>
      <c r="D13" s="44"/>
      <c r="E13" s="430">
        <v>46047000000</v>
      </c>
      <c r="F13" s="577"/>
      <c r="G13" s="430"/>
      <c r="H13" s="442"/>
      <c r="I13" s="430"/>
      <c r="J13" s="442"/>
      <c r="K13" s="430"/>
      <c r="L13" s="444"/>
      <c r="M13" s="430">
        <f>E13</f>
        <v>46047000000</v>
      </c>
      <c r="N13" s="444"/>
      <c r="O13" s="430">
        <v>88159000000</v>
      </c>
    </row>
    <row r="14" spans="1:19" ht="21.75" thickBot="1">
      <c r="A14" s="1"/>
      <c r="B14" s="35"/>
      <c r="C14" s="1"/>
      <c r="D14" s="1"/>
      <c r="E14" s="431">
        <f>SUM(E8:E13)</f>
        <v>834319047730</v>
      </c>
      <c r="F14" s="434"/>
      <c r="G14" s="431">
        <f>SUM(G8:G12)</f>
        <v>0</v>
      </c>
      <c r="H14" s="434"/>
      <c r="I14" s="431">
        <f>SUM(I8:I12)</f>
        <v>186095047730</v>
      </c>
      <c r="J14" s="434"/>
      <c r="K14" s="431">
        <f>SUM(K8:K12)</f>
        <v>0</v>
      </c>
      <c r="L14" s="432"/>
      <c r="M14" s="431">
        <f>SUM(M8:M13)</f>
        <v>834319047730</v>
      </c>
      <c r="N14" s="432"/>
      <c r="O14" s="431">
        <f>SUM(O8:O13)</f>
        <v>309340211624</v>
      </c>
    </row>
    <row r="15" spans="1:19" ht="20.25" customHeight="1" thickTop="1">
      <c r="A15" s="1"/>
      <c r="B15" s="35"/>
      <c r="C15" s="1"/>
      <c r="D15" s="1"/>
      <c r="E15" s="442"/>
      <c r="F15" s="442"/>
      <c r="G15" s="578"/>
      <c r="H15" s="442"/>
      <c r="I15" s="578"/>
      <c r="J15" s="442"/>
      <c r="K15" s="444"/>
      <c r="L15" s="444"/>
      <c r="M15" s="444"/>
      <c r="N15" s="444"/>
      <c r="O15" s="444"/>
    </row>
    <row r="16" spans="1:19" ht="46.5" customHeight="1">
      <c r="A16" s="1"/>
      <c r="B16" s="811" t="s">
        <v>1156</v>
      </c>
      <c r="C16" s="811"/>
      <c r="D16" s="811"/>
      <c r="E16" s="811"/>
      <c r="F16" s="811"/>
      <c r="G16" s="811"/>
      <c r="H16" s="811"/>
      <c r="I16" s="811"/>
      <c r="J16" s="811"/>
      <c r="K16" s="811"/>
      <c r="L16" s="811"/>
      <c r="M16" s="811"/>
      <c r="N16" s="811"/>
      <c r="O16" s="811"/>
    </row>
    <row r="17" spans="1:15" ht="10.5" customHeight="1">
      <c r="A17" s="1"/>
      <c r="B17" s="35"/>
      <c r="C17" s="1"/>
      <c r="D17" s="1"/>
      <c r="E17" s="442"/>
      <c r="F17" s="442"/>
      <c r="G17" s="578"/>
      <c r="H17" s="442"/>
      <c r="I17" s="578"/>
      <c r="J17" s="442"/>
      <c r="K17" s="444"/>
      <c r="L17" s="444"/>
      <c r="M17" s="444"/>
      <c r="N17" s="444"/>
      <c r="O17" s="444"/>
    </row>
    <row r="18" spans="1:15" ht="21">
      <c r="A18" s="1"/>
      <c r="B18" s="810" t="s">
        <v>1127</v>
      </c>
      <c r="C18" s="810"/>
      <c r="D18" s="810"/>
      <c r="E18" s="810"/>
      <c r="F18" s="810"/>
      <c r="G18" s="810"/>
      <c r="H18" s="810"/>
      <c r="I18" s="810"/>
      <c r="J18" s="810"/>
      <c r="K18" s="810"/>
      <c r="L18" s="810"/>
      <c r="M18" s="810"/>
      <c r="N18" s="810"/>
      <c r="O18" s="810"/>
    </row>
    <row r="19" spans="1:15" ht="21">
      <c r="A19" s="1"/>
      <c r="B19" s="35"/>
      <c r="C19" s="394">
        <v>1402</v>
      </c>
      <c r="D19" s="87" t="e">
        <f>#REF!</f>
        <v>#REF!</v>
      </c>
      <c r="E19" s="394">
        <v>1401</v>
      </c>
      <c r="F19" s="579"/>
      <c r="G19" s="579"/>
      <c r="H19" s="579"/>
      <c r="I19" s="579"/>
      <c r="J19" s="579"/>
      <c r="K19" s="579"/>
      <c r="L19" s="2"/>
      <c r="M19" s="2"/>
      <c r="N19" s="2"/>
      <c r="O19" s="2"/>
    </row>
    <row r="20" spans="1:15" ht="21">
      <c r="A20" s="1"/>
      <c r="B20" s="35"/>
      <c r="C20" s="2" t="s">
        <v>102</v>
      </c>
      <c r="D20" s="2"/>
      <c r="E20" s="2" t="s">
        <v>102</v>
      </c>
      <c r="F20" s="2"/>
      <c r="G20" s="2"/>
      <c r="H20" s="2"/>
      <c r="I20" s="2"/>
      <c r="J20" s="2"/>
      <c r="K20" s="2"/>
      <c r="L20" s="2"/>
      <c r="M20" s="2"/>
      <c r="N20" s="2"/>
      <c r="O20" s="2"/>
    </row>
    <row r="21" spans="1:15" ht="21">
      <c r="A21" s="1"/>
      <c r="B21" s="93" t="s">
        <v>527</v>
      </c>
      <c r="C21" s="430">
        <v>131723735621</v>
      </c>
      <c r="D21" s="444"/>
      <c r="E21" s="430">
        <v>168212899555</v>
      </c>
      <c r="F21" s="55"/>
      <c r="G21" s="135"/>
      <c r="H21" s="1"/>
      <c r="I21" s="135"/>
      <c r="J21" s="1"/>
      <c r="K21" s="135"/>
      <c r="L21" s="2"/>
      <c r="M21" s="2"/>
      <c r="N21" s="2"/>
      <c r="O21" s="2"/>
    </row>
    <row r="22" spans="1:15" ht="21.75" thickBot="1">
      <c r="A22" s="1"/>
      <c r="B22" s="35"/>
      <c r="C22" s="431">
        <f>SUM(C21:C21)</f>
        <v>131723735621</v>
      </c>
      <c r="D22" s="432"/>
      <c r="E22" s="431">
        <f>SUM(E21:E21)</f>
        <v>168212899555</v>
      </c>
      <c r="F22" s="65"/>
      <c r="G22" s="198"/>
      <c r="H22" s="65"/>
      <c r="I22" s="198"/>
      <c r="J22" s="65"/>
      <c r="K22" s="198"/>
      <c r="L22" s="66"/>
      <c r="M22" s="2"/>
      <c r="N22" s="2"/>
      <c r="O22" s="2"/>
    </row>
    <row r="23" spans="1:15" s="62" customFormat="1" ht="21.75" thickTop="1">
      <c r="A23" s="212"/>
      <c r="B23" s="806"/>
      <c r="C23" s="806"/>
      <c r="D23" s="806"/>
      <c r="E23" s="806"/>
      <c r="F23" s="806"/>
      <c r="G23" s="806"/>
      <c r="H23" s="806"/>
      <c r="I23" s="806"/>
      <c r="J23" s="806"/>
      <c r="K23" s="806"/>
      <c r="L23" s="806"/>
      <c r="M23" s="806"/>
      <c r="N23" s="806"/>
      <c r="O23" s="806"/>
    </row>
  </sheetData>
  <mergeCells count="8">
    <mergeCell ref="B23:O23"/>
    <mergeCell ref="A1:O1"/>
    <mergeCell ref="B2:O2"/>
    <mergeCell ref="B3:O3"/>
    <mergeCell ref="B4:O4"/>
    <mergeCell ref="E5:M5"/>
    <mergeCell ref="B18:O18"/>
    <mergeCell ref="B16:O16"/>
  </mergeCells>
  <pageMargins left="0.70866141732283472" right="0.70866141732283472" top="0.74803149606299213" bottom="0.74803149606299213" header="0.31496062992125984" footer="0.31496062992125984"/>
  <pageSetup scale="66" firstPageNumber="16" orientation="portrait" useFirstPageNumber="1" r:id="rId1"/>
  <headerFooter>
    <oddFooter>&amp;C&amp;"B Nazanin,Regular"&amp;P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6"/>
  <sheetViews>
    <sheetView rightToLeft="1" view="pageBreakPreview" zoomScaleNormal="100" zoomScaleSheetLayoutView="100" zoomScalePageLayoutView="85" workbookViewId="0">
      <selection sqref="A1:K1"/>
    </sheetView>
  </sheetViews>
  <sheetFormatPr defaultColWidth="9" defaultRowHeight="19.5"/>
  <cols>
    <col min="1" max="1" width="1.7109375" style="5" customWidth="1"/>
    <col min="2" max="2" width="23" style="19" customWidth="1"/>
    <col min="3" max="3" width="9" style="19" customWidth="1"/>
    <col min="4" max="4" width="0.7109375" style="19" customWidth="1"/>
    <col min="5" max="5" width="13.85546875" style="19" customWidth="1"/>
    <col min="6" max="6" width="0.42578125" style="5" customWidth="1"/>
    <col min="7" max="7" width="12.5703125" style="14" hidden="1" customWidth="1"/>
    <col min="8" max="8" width="0.42578125" style="5" customWidth="1"/>
    <col min="9" max="9" width="11.140625" style="15" customWidth="1"/>
    <col min="10" max="10" width="0.42578125" style="15" customWidth="1"/>
    <col min="11" max="11" width="11.140625" style="15" customWidth="1"/>
    <col min="12" max="12" width="1.140625" style="5" customWidth="1"/>
    <col min="13" max="13" width="3.140625" style="5" customWidth="1"/>
    <col min="14" max="14" width="28.140625" style="5" customWidth="1"/>
    <col min="15" max="15" width="17.140625" style="5" customWidth="1"/>
    <col min="16" max="16384" width="9" style="5"/>
  </cols>
  <sheetData>
    <row r="1" spans="1:16" ht="20.25">
      <c r="A1" s="765" t="str">
        <f>مفروضات!$C$1</f>
        <v>دانشگاه علوم پزشکی و خدمات بهداشتی درمانی سمنان</v>
      </c>
      <c r="B1" s="766"/>
      <c r="C1" s="766"/>
      <c r="D1" s="766"/>
      <c r="E1" s="766"/>
      <c r="F1" s="766"/>
      <c r="G1" s="766"/>
      <c r="H1" s="766"/>
      <c r="I1" s="766"/>
      <c r="J1" s="766"/>
      <c r="K1" s="766"/>
      <c r="L1" s="435"/>
      <c r="M1" s="435"/>
      <c r="N1" s="435"/>
      <c r="O1" s="4"/>
      <c r="P1" s="4"/>
    </row>
    <row r="2" spans="1:16" s="6" customFormat="1">
      <c r="B2" s="767" t="s">
        <v>33</v>
      </c>
      <c r="C2" s="767"/>
      <c r="D2" s="767"/>
      <c r="E2" s="767"/>
      <c r="F2" s="767"/>
      <c r="G2" s="767"/>
      <c r="H2" s="767"/>
      <c r="I2" s="767"/>
      <c r="J2" s="767"/>
      <c r="K2" s="767"/>
      <c r="L2" s="7"/>
    </row>
    <row r="3" spans="1:16" ht="20.25">
      <c r="A3" s="6"/>
      <c r="B3" s="767" t="str">
        <f>مفروضات!$C$6</f>
        <v>برای سال مالي منتهي به 29 اسفند ماه 1402</v>
      </c>
      <c r="C3" s="767"/>
      <c r="D3" s="767"/>
      <c r="E3" s="767"/>
      <c r="F3" s="767"/>
      <c r="G3" s="767"/>
      <c r="H3" s="767"/>
      <c r="I3" s="767"/>
      <c r="J3" s="767"/>
      <c r="K3" s="767"/>
      <c r="L3" s="7"/>
      <c r="M3" s="6"/>
      <c r="N3" s="6"/>
      <c r="O3" s="6"/>
      <c r="P3" s="6"/>
    </row>
    <row r="4" spans="1:16" ht="6" customHeight="1">
      <c r="B4" s="8"/>
      <c r="C4" s="8"/>
      <c r="D4" s="8"/>
      <c r="E4" s="8"/>
      <c r="F4" s="9"/>
      <c r="G4" s="9"/>
      <c r="H4" s="9"/>
      <c r="I4" s="10"/>
      <c r="J4" s="10"/>
      <c r="K4" s="10"/>
      <c r="L4" s="9"/>
    </row>
    <row r="5" spans="1:16" ht="21">
      <c r="A5" s="6"/>
      <c r="B5" s="796" t="s">
        <v>991</v>
      </c>
      <c r="C5" s="796"/>
      <c r="D5" s="796"/>
      <c r="E5" s="796"/>
      <c r="F5" s="796"/>
      <c r="G5" s="796"/>
      <c r="H5" s="796"/>
      <c r="I5" s="796"/>
      <c r="J5" s="796"/>
      <c r="K5" s="796"/>
      <c r="L5" s="6"/>
      <c r="M5" s="6"/>
      <c r="N5" s="6"/>
      <c r="O5" s="6"/>
      <c r="P5" s="6"/>
    </row>
    <row r="6" spans="1:16" ht="21">
      <c r="C6" s="35"/>
      <c r="D6" s="35"/>
      <c r="E6" s="817">
        <f>مفروضات!$C$3</f>
        <v>1402</v>
      </c>
      <c r="F6" s="817"/>
      <c r="G6" s="817"/>
      <c r="H6" s="817"/>
      <c r="I6" s="817"/>
      <c r="J6" s="33"/>
      <c r="K6" s="32">
        <f>مفروضات!$C$4</f>
        <v>1401</v>
      </c>
      <c r="L6" s="18"/>
    </row>
    <row r="7" spans="1:16" ht="21">
      <c r="B7" s="46"/>
      <c r="C7" s="70" t="s">
        <v>116</v>
      </c>
      <c r="D7" s="44"/>
      <c r="E7" s="219" t="s">
        <v>31</v>
      </c>
      <c r="F7" s="53"/>
      <c r="G7" s="220" t="s">
        <v>32</v>
      </c>
      <c r="H7" s="31"/>
      <c r="I7" s="186" t="s">
        <v>26</v>
      </c>
      <c r="J7" s="2"/>
      <c r="K7" s="186" t="s">
        <v>26</v>
      </c>
    </row>
    <row r="8" spans="1:16" ht="18" customHeight="1">
      <c r="B8" s="63"/>
      <c r="C8" s="55"/>
      <c r="D8" s="55"/>
      <c r="E8" s="60" t="s">
        <v>70</v>
      </c>
      <c r="F8" s="31"/>
      <c r="G8" s="60" t="s">
        <v>70</v>
      </c>
      <c r="H8" s="31"/>
      <c r="I8" s="60" t="s">
        <v>70</v>
      </c>
      <c r="J8" s="2"/>
      <c r="K8" s="60" t="s">
        <v>70</v>
      </c>
    </row>
    <row r="9" spans="1:16" ht="18" customHeight="1">
      <c r="B9" s="55" t="s">
        <v>28</v>
      </c>
      <c r="C9" s="83" t="s">
        <v>588</v>
      </c>
      <c r="D9" s="63"/>
      <c r="E9" s="317">
        <v>9798096320</v>
      </c>
      <c r="G9" s="135">
        <f>G20</f>
        <v>0</v>
      </c>
      <c r="I9" s="317">
        <f>E9-G9</f>
        <v>9798096320</v>
      </c>
      <c r="K9" s="317">
        <v>1368204298</v>
      </c>
    </row>
    <row r="10" spans="1:16" ht="18" customHeight="1">
      <c r="B10" s="55" t="s">
        <v>29</v>
      </c>
      <c r="C10" s="83" t="s">
        <v>992</v>
      </c>
      <c r="D10" s="63"/>
      <c r="E10" s="317">
        <f>E30</f>
        <v>720343448859</v>
      </c>
      <c r="G10" s="135">
        <f>G30</f>
        <v>0</v>
      </c>
      <c r="I10" s="317">
        <f>E10-G10</f>
        <v>720343448859</v>
      </c>
      <c r="K10" s="317">
        <v>646001895905</v>
      </c>
    </row>
    <row r="11" spans="1:16" ht="18" customHeight="1">
      <c r="B11" s="55" t="s">
        <v>413</v>
      </c>
      <c r="C11" s="63"/>
      <c r="D11" s="63"/>
      <c r="E11" s="317">
        <v>8086059823</v>
      </c>
      <c r="G11" s="135">
        <v>0</v>
      </c>
      <c r="I11" s="317">
        <f>E11-G11</f>
        <v>8086059823</v>
      </c>
      <c r="K11" s="317">
        <v>10945837638</v>
      </c>
    </row>
    <row r="12" spans="1:16" ht="18" customHeight="1">
      <c r="B12" s="55" t="s">
        <v>30</v>
      </c>
      <c r="C12" s="63"/>
      <c r="D12" s="63"/>
      <c r="E12" s="317">
        <v>37795779630</v>
      </c>
      <c r="G12" s="135">
        <v>0</v>
      </c>
      <c r="I12" s="317">
        <f>E12-G12</f>
        <v>37795779630</v>
      </c>
      <c r="K12" s="317">
        <v>37813635546</v>
      </c>
    </row>
    <row r="13" spans="1:16" ht="18" customHeight="1" thickBot="1">
      <c r="E13" s="318">
        <f>SUM(E9:E12)</f>
        <v>776023384632</v>
      </c>
      <c r="F13" s="65"/>
      <c r="G13" s="136">
        <f>SUM(G9:G12)</f>
        <v>0</v>
      </c>
      <c r="H13" s="65"/>
      <c r="I13" s="318">
        <f>SUM(I9:I12)</f>
        <v>776023384632</v>
      </c>
      <c r="J13" s="66"/>
      <c r="K13" s="318">
        <f>SUM(K9:K12)</f>
        <v>696129573387</v>
      </c>
    </row>
    <row r="14" spans="1:16" ht="22.5" customHeight="1" thickTop="1">
      <c r="B14" s="772" t="s">
        <v>993</v>
      </c>
      <c r="C14" s="772"/>
      <c r="D14" s="772"/>
      <c r="E14" s="772"/>
      <c r="F14" s="772"/>
      <c r="G14" s="772"/>
      <c r="H14" s="772"/>
      <c r="I14" s="772"/>
      <c r="J14" s="772"/>
      <c r="K14" s="772"/>
    </row>
    <row r="15" spans="1:16" ht="22.5" customHeight="1">
      <c r="B15" s="109"/>
      <c r="C15" s="109"/>
      <c r="D15" s="109"/>
      <c r="E15" s="815">
        <f>E6</f>
        <v>1402</v>
      </c>
      <c r="F15" s="815"/>
      <c r="G15" s="815"/>
      <c r="H15" s="815"/>
      <c r="I15" s="815"/>
      <c r="J15" s="87"/>
      <c r="K15" s="394">
        <f>K6</f>
        <v>1401</v>
      </c>
      <c r="L15" s="436"/>
    </row>
    <row r="16" spans="1:16" ht="22.5" customHeight="1">
      <c r="B16" s="109"/>
      <c r="C16" s="109"/>
      <c r="D16" s="109"/>
      <c r="E16" s="219" t="s">
        <v>31</v>
      </c>
      <c r="F16" s="53"/>
      <c r="G16" s="220" t="s">
        <v>32</v>
      </c>
      <c r="H16" s="31"/>
      <c r="I16" s="186" t="s">
        <v>26</v>
      </c>
      <c r="J16" s="2"/>
      <c r="K16" s="186" t="s">
        <v>26</v>
      </c>
    </row>
    <row r="17" spans="2:11" ht="22.5" customHeight="1">
      <c r="B17" s="109"/>
      <c r="C17" s="109"/>
      <c r="D17" s="109"/>
      <c r="E17" s="60" t="s">
        <v>70</v>
      </c>
      <c r="F17" s="31"/>
      <c r="G17" s="60" t="s">
        <v>70</v>
      </c>
      <c r="H17" s="31"/>
      <c r="I17" s="60" t="s">
        <v>70</v>
      </c>
      <c r="J17" s="2"/>
      <c r="K17" s="60" t="s">
        <v>70</v>
      </c>
    </row>
    <row r="18" spans="2:11" ht="21" customHeight="1">
      <c r="B18" s="55" t="s">
        <v>216</v>
      </c>
      <c r="C18"/>
      <c r="D18" s="63"/>
      <c r="E18" s="317">
        <v>7553847420</v>
      </c>
      <c r="G18" s="135" t="s">
        <v>455</v>
      </c>
      <c r="I18" s="135">
        <v>0</v>
      </c>
      <c r="K18" s="317">
        <v>163203699</v>
      </c>
    </row>
    <row r="19" spans="2:11" ht="21" customHeight="1">
      <c r="B19" s="55" t="s">
        <v>217</v>
      </c>
      <c r="C19"/>
      <c r="D19" s="63"/>
      <c r="E19" s="317">
        <v>2244248900</v>
      </c>
      <c r="G19" s="135" t="s">
        <v>455</v>
      </c>
      <c r="I19" s="135">
        <v>0</v>
      </c>
      <c r="K19" s="317">
        <v>1205000599</v>
      </c>
    </row>
    <row r="20" spans="2:11" ht="22.5" customHeight="1" thickBot="1">
      <c r="B20" s="109"/>
      <c r="C20" s="109"/>
      <c r="D20" s="109"/>
      <c r="E20" s="318">
        <f>SUM(E18:E19)</f>
        <v>9798096320</v>
      </c>
      <c r="F20" s="65"/>
      <c r="G20" s="136">
        <f>SUM(G18:G19)</f>
        <v>0</v>
      </c>
      <c r="H20" s="65"/>
      <c r="I20" s="136">
        <f>SUM(I18:I19)</f>
        <v>0</v>
      </c>
      <c r="J20" s="66"/>
      <c r="K20" s="318">
        <f>SUM(K18:K19)</f>
        <v>1368204298</v>
      </c>
    </row>
    <row r="21" spans="2:11" ht="22.5" customHeight="1" thickTop="1">
      <c r="B21" s="109"/>
      <c r="C21" s="109"/>
      <c r="D21" s="109"/>
      <c r="E21" s="66"/>
      <c r="F21" s="65"/>
      <c r="G21" s="66"/>
      <c r="H21" s="65"/>
      <c r="I21" s="66"/>
      <c r="J21" s="66"/>
      <c r="K21" s="66"/>
    </row>
    <row r="22" spans="2:11" ht="22.5" customHeight="1">
      <c r="B22" s="816" t="s">
        <v>994</v>
      </c>
      <c r="C22" s="816"/>
      <c r="D22" s="816"/>
      <c r="E22" s="816"/>
      <c r="F22" s="816"/>
      <c r="G22" s="816"/>
      <c r="H22" s="816"/>
      <c r="I22" s="816"/>
      <c r="J22" s="816"/>
      <c r="K22" s="816"/>
    </row>
    <row r="23" spans="2:11" ht="22.5" customHeight="1">
      <c r="C23"/>
      <c r="E23" s="815">
        <f>E15</f>
        <v>1402</v>
      </c>
      <c r="F23" s="815"/>
      <c r="G23" s="815"/>
      <c r="H23" s="815"/>
      <c r="I23" s="815"/>
      <c r="J23" s="87"/>
      <c r="K23" s="394">
        <f>K15</f>
        <v>1401</v>
      </c>
    </row>
    <row r="24" spans="2:11" ht="22.5" customHeight="1">
      <c r="B24" s="46"/>
      <c r="C24"/>
      <c r="D24" s="46"/>
      <c r="E24" s="219" t="s">
        <v>31</v>
      </c>
      <c r="F24" s="53"/>
      <c r="G24" s="220" t="s">
        <v>32</v>
      </c>
      <c r="H24" s="31"/>
      <c r="I24" s="186" t="s">
        <v>26</v>
      </c>
      <c r="J24" s="2"/>
      <c r="K24" s="186" t="s">
        <v>26</v>
      </c>
    </row>
    <row r="25" spans="2:11" ht="22.5" customHeight="1">
      <c r="B25" s="63"/>
      <c r="C25"/>
      <c r="D25" s="63"/>
      <c r="E25" s="60" t="s">
        <v>70</v>
      </c>
      <c r="F25" s="31"/>
      <c r="G25" s="60" t="s">
        <v>70</v>
      </c>
      <c r="H25" s="31"/>
      <c r="I25" s="60" t="s">
        <v>70</v>
      </c>
      <c r="J25" s="2"/>
      <c r="K25" s="60" t="s">
        <v>70</v>
      </c>
    </row>
    <row r="26" spans="2:11" ht="18.600000000000001" customHeight="1">
      <c r="B26" s="55" t="s">
        <v>214</v>
      </c>
      <c r="C26" s="437"/>
      <c r="D26" s="63"/>
      <c r="E26" s="317">
        <v>400510841829</v>
      </c>
      <c r="G26" s="135" t="s">
        <v>455</v>
      </c>
      <c r="I26" s="317">
        <f>E26</f>
        <v>400510841829</v>
      </c>
      <c r="J26" s="438"/>
      <c r="K26" s="317">
        <v>327277490663</v>
      </c>
    </row>
    <row r="27" spans="2:11" ht="18.600000000000001" customHeight="1">
      <c r="B27" s="772" t="s">
        <v>626</v>
      </c>
      <c r="C27" s="772"/>
      <c r="D27" s="63"/>
      <c r="E27" s="317">
        <v>297244601789</v>
      </c>
      <c r="G27" s="135" t="s">
        <v>455</v>
      </c>
      <c r="I27" s="317">
        <f>E27</f>
        <v>297244601789</v>
      </c>
      <c r="J27" s="438"/>
      <c r="K27" s="317">
        <v>303009524285</v>
      </c>
    </row>
    <row r="28" spans="2:11" ht="18.600000000000001" customHeight="1">
      <c r="B28" s="55" t="s">
        <v>215</v>
      </c>
      <c r="C28" s="437"/>
      <c r="D28" s="63"/>
      <c r="E28" s="317">
        <v>20694329275</v>
      </c>
      <c r="G28" s="135" t="s">
        <v>455</v>
      </c>
      <c r="I28" s="317">
        <f>E28</f>
        <v>20694329275</v>
      </c>
      <c r="J28" s="438"/>
      <c r="K28" s="317">
        <v>14701505219</v>
      </c>
    </row>
    <row r="29" spans="2:11" ht="18.600000000000001" customHeight="1">
      <c r="B29" s="93" t="s">
        <v>213</v>
      </c>
      <c r="C29" s="93"/>
      <c r="D29" s="109"/>
      <c r="E29" s="317">
        <v>1893675966</v>
      </c>
      <c r="G29" s="135" t="s">
        <v>455</v>
      </c>
      <c r="I29" s="317">
        <f>E29</f>
        <v>1893675966</v>
      </c>
      <c r="J29" s="438"/>
      <c r="K29" s="317">
        <v>1013375738</v>
      </c>
    </row>
    <row r="30" spans="2:11" ht="18.600000000000001" customHeight="1" thickBot="1">
      <c r="B30" s="35"/>
      <c r="C30" s="437"/>
      <c r="E30" s="318">
        <f>SUM(E26:E29)</f>
        <v>720343448859</v>
      </c>
      <c r="F30" s="65"/>
      <c r="G30" s="136">
        <f>SUM(G26:G29)</f>
        <v>0</v>
      </c>
      <c r="H30" s="65"/>
      <c r="I30" s="318">
        <f>E30</f>
        <v>720343448859</v>
      </c>
      <c r="J30" s="66"/>
      <c r="K30" s="318">
        <f>SUM(K26:K29)</f>
        <v>646001895905</v>
      </c>
    </row>
    <row r="31" spans="2:11" ht="22.5" customHeight="1" thickTop="1">
      <c r="C31"/>
      <c r="E31" s="66"/>
      <c r="F31" s="65"/>
      <c r="G31" s="66"/>
      <c r="H31" s="65"/>
      <c r="I31" s="66"/>
      <c r="J31" s="66"/>
      <c r="K31" s="66"/>
    </row>
    <row r="32" spans="2:11" ht="21">
      <c r="B32" s="813" t="s">
        <v>995</v>
      </c>
      <c r="C32" s="813"/>
      <c r="D32" s="813"/>
      <c r="E32" s="813"/>
      <c r="F32" s="813"/>
      <c r="G32" s="813"/>
      <c r="H32" s="813"/>
      <c r="I32" s="813"/>
      <c r="J32" s="813"/>
      <c r="K32" s="813"/>
    </row>
    <row r="33" spans="2:11" ht="22.5" customHeight="1">
      <c r="B33" s="796" t="s">
        <v>996</v>
      </c>
      <c r="C33" s="796"/>
      <c r="D33" s="796"/>
      <c r="E33" s="796"/>
      <c r="F33" s="796"/>
      <c r="G33" s="796"/>
      <c r="H33" s="796"/>
      <c r="I33" s="796"/>
      <c r="J33" s="796"/>
      <c r="K33" s="796"/>
    </row>
    <row r="34" spans="2:11" ht="20.45" customHeight="1">
      <c r="E34" s="70" t="s">
        <v>116</v>
      </c>
      <c r="F34" s="65"/>
      <c r="G34" s="5"/>
      <c r="H34" s="65"/>
      <c r="I34" s="32">
        <f>مفروضات!$C$3</f>
        <v>1402</v>
      </c>
      <c r="J34" s="33"/>
      <c r="K34" s="394">
        <v>1401</v>
      </c>
    </row>
    <row r="35" spans="2:11" ht="20.45" customHeight="1">
      <c r="E35" s="31"/>
      <c r="G35" s="5"/>
      <c r="H35" s="1"/>
      <c r="I35" s="58" t="s">
        <v>70</v>
      </c>
      <c r="J35" s="2"/>
      <c r="K35" s="58" t="s">
        <v>70</v>
      </c>
    </row>
    <row r="36" spans="2:11" ht="20.45" customHeight="1">
      <c r="B36" s="814" t="s">
        <v>745</v>
      </c>
      <c r="C36" s="814"/>
      <c r="D36" s="55"/>
      <c r="E36" s="439" t="s">
        <v>218</v>
      </c>
      <c r="F36" s="55"/>
      <c r="G36" s="5"/>
      <c r="I36" s="297">
        <f>I44</f>
        <v>71665567362</v>
      </c>
      <c r="J36" s="303"/>
      <c r="K36" s="297">
        <f>'6-7'!K44</f>
        <v>174829123128</v>
      </c>
    </row>
    <row r="37" spans="2:11" ht="20.45" customHeight="1" thickBot="1">
      <c r="I37" s="300">
        <f>SUM(I36)</f>
        <v>71665567362</v>
      </c>
      <c r="J37" s="303"/>
      <c r="K37" s="300">
        <f>SUM(K36)</f>
        <v>174829123128</v>
      </c>
    </row>
    <row r="38" spans="2:11" ht="22.5" customHeight="1" thickTop="1">
      <c r="B38" s="794" t="s">
        <v>997</v>
      </c>
      <c r="C38" s="794"/>
      <c r="D38" s="794"/>
      <c r="E38" s="794"/>
      <c r="F38" s="794"/>
      <c r="G38" s="794"/>
      <c r="H38" s="794"/>
      <c r="I38" s="794"/>
      <c r="J38" s="794"/>
      <c r="K38" s="794"/>
    </row>
    <row r="39" spans="2:11" ht="22.5" customHeight="1">
      <c r="E39" s="66"/>
      <c r="F39" s="65"/>
      <c r="G39" s="66"/>
      <c r="H39" s="65"/>
      <c r="I39" s="32">
        <f>مفروضات!$C$3</f>
        <v>1402</v>
      </c>
      <c r="J39" s="33"/>
      <c r="K39" s="394">
        <v>1401</v>
      </c>
    </row>
    <row r="40" spans="2:11" ht="22.5" customHeight="1">
      <c r="I40" s="58" t="s">
        <v>70</v>
      </c>
      <c r="J40" s="2"/>
      <c r="K40" s="58" t="s">
        <v>70</v>
      </c>
    </row>
    <row r="41" spans="2:11" ht="22.5" customHeight="1">
      <c r="B41" s="77" t="s">
        <v>627</v>
      </c>
      <c r="C41" s="77"/>
      <c r="D41" s="35"/>
      <c r="E41" s="439" t="s">
        <v>1001</v>
      </c>
      <c r="G41" s="5"/>
      <c r="I41" s="297">
        <f>I54</f>
        <v>29188776476</v>
      </c>
      <c r="J41" s="2"/>
      <c r="K41" s="297">
        <f>K54</f>
        <v>235756797</v>
      </c>
    </row>
    <row r="42" spans="2:11" ht="19.899999999999999" customHeight="1">
      <c r="B42" s="813" t="s">
        <v>414</v>
      </c>
      <c r="C42" s="813"/>
      <c r="D42" s="35"/>
      <c r="E42" s="439" t="s">
        <v>1000</v>
      </c>
      <c r="G42" s="5"/>
      <c r="I42" s="297">
        <f>I131</f>
        <v>42405410886</v>
      </c>
      <c r="J42" s="303"/>
      <c r="K42" s="297">
        <f>K131</f>
        <v>34376667105</v>
      </c>
    </row>
    <row r="43" spans="2:11" ht="19.899999999999999" customHeight="1">
      <c r="B43" s="813" t="s">
        <v>744</v>
      </c>
      <c r="C43" s="813"/>
      <c r="D43" s="35"/>
      <c r="E43" s="35"/>
      <c r="G43" s="439"/>
      <c r="I43" s="297">
        <v>71380000</v>
      </c>
      <c r="J43" s="303"/>
      <c r="K43" s="314">
        <v>140216699226</v>
      </c>
    </row>
    <row r="44" spans="2:11" ht="19.899999999999999" customHeight="1" thickBot="1">
      <c r="I44" s="300">
        <f>SUM(I41:I43)</f>
        <v>71665567362</v>
      </c>
      <c r="J44" s="303"/>
      <c r="K44" s="300">
        <f>SUM(K41:K43)</f>
        <v>174829123128</v>
      </c>
    </row>
    <row r="45" spans="2:11" ht="6" customHeight="1" thickTop="1">
      <c r="I45" s="303"/>
      <c r="J45" s="303"/>
      <c r="K45" s="303"/>
    </row>
    <row r="46" spans="2:11" ht="19.899999999999999" customHeight="1">
      <c r="B46" s="794" t="s">
        <v>998</v>
      </c>
      <c r="C46" s="794"/>
      <c r="D46" s="794"/>
      <c r="E46" s="794"/>
      <c r="F46" s="794"/>
      <c r="G46" s="794"/>
      <c r="H46" s="794"/>
      <c r="I46" s="794"/>
      <c r="J46" s="794"/>
      <c r="K46" s="794"/>
    </row>
    <row r="47" spans="2:11" ht="19.899999999999999" customHeight="1">
      <c r="E47" s="66"/>
      <c r="F47" s="65"/>
      <c r="G47" s="66"/>
      <c r="H47" s="65"/>
      <c r="I47" s="32">
        <f>مفروضات!$C$3</f>
        <v>1402</v>
      </c>
      <c r="J47" s="33"/>
      <c r="K47" s="394">
        <v>1401</v>
      </c>
    </row>
    <row r="48" spans="2:11" ht="19.899999999999999" customHeight="1">
      <c r="B48" s="812"/>
      <c r="C48" s="812"/>
      <c r="D48" s="812"/>
      <c r="E48" s="812"/>
      <c r="F48" s="55"/>
      <c r="I48" s="58" t="s">
        <v>70</v>
      </c>
      <c r="J48" s="2"/>
      <c r="K48" s="58" t="s">
        <v>70</v>
      </c>
    </row>
    <row r="49" spans="2:11" ht="19.899999999999999" customHeight="1">
      <c r="B49" s="813" t="s">
        <v>741</v>
      </c>
      <c r="C49" s="813"/>
      <c r="D49" s="35"/>
      <c r="E49" s="439"/>
      <c r="F49" s="55"/>
      <c r="I49" s="297">
        <v>258591840</v>
      </c>
      <c r="J49" s="2"/>
      <c r="K49" s="58">
        <v>0</v>
      </c>
    </row>
    <row r="50" spans="2:11" ht="19.899999999999999" customHeight="1">
      <c r="B50" s="813" t="s">
        <v>742</v>
      </c>
      <c r="C50" s="813"/>
      <c r="D50" s="35"/>
      <c r="E50" s="439"/>
      <c r="F50" s="55"/>
      <c r="I50" s="297">
        <v>107324950</v>
      </c>
      <c r="J50" s="2"/>
      <c r="K50" s="58">
        <v>0</v>
      </c>
    </row>
    <row r="51" spans="2:11" ht="19.899999999999999" customHeight="1">
      <c r="B51" s="813" t="s">
        <v>746</v>
      </c>
      <c r="C51" s="813"/>
      <c r="D51" s="35"/>
      <c r="E51" s="439"/>
      <c r="F51" s="55"/>
      <c r="I51" s="297">
        <v>271782000</v>
      </c>
      <c r="J51" s="2"/>
      <c r="K51" s="297">
        <f>2004000+75338000</f>
        <v>77342000</v>
      </c>
    </row>
    <row r="52" spans="2:11" ht="19.899999999999999" customHeight="1">
      <c r="B52" s="813" t="s">
        <v>743</v>
      </c>
      <c r="C52" s="813"/>
      <c r="D52" s="35"/>
      <c r="E52" s="439" t="s">
        <v>1022</v>
      </c>
      <c r="F52" s="44"/>
      <c r="G52" s="439"/>
      <c r="I52" s="297">
        <v>28066800000</v>
      </c>
      <c r="J52" s="2"/>
      <c r="K52" s="139">
        <v>0</v>
      </c>
    </row>
    <row r="53" spans="2:11" ht="19.899999999999999" customHeight="1">
      <c r="B53" s="813" t="s">
        <v>51</v>
      </c>
      <c r="C53" s="813"/>
      <c r="D53" s="35"/>
      <c r="E53" s="439"/>
      <c r="F53" s="55"/>
      <c r="G53" s="439"/>
      <c r="I53" s="297">
        <f>521886+271782000+177255800+306500000-271782000</f>
        <v>484277686</v>
      </c>
      <c r="J53" s="2"/>
      <c r="K53" s="297">
        <v>158414797</v>
      </c>
    </row>
    <row r="54" spans="2:11" ht="19.899999999999999" customHeight="1" thickBot="1">
      <c r="B54" s="820"/>
      <c r="C54" s="820"/>
      <c r="D54" s="35"/>
      <c r="E54" s="439"/>
      <c r="I54" s="300">
        <f>SUM(I49:I53)</f>
        <v>29188776476</v>
      </c>
      <c r="J54" s="2"/>
      <c r="K54" s="300">
        <f>SUM(K49:K53)</f>
        <v>235756797</v>
      </c>
    </row>
    <row r="55" spans="2:11" ht="41.25" customHeight="1" thickTop="1">
      <c r="B55" s="819" t="s">
        <v>1284</v>
      </c>
      <c r="C55" s="819"/>
      <c r="D55" s="819"/>
      <c r="E55" s="819"/>
      <c r="F55" s="819"/>
      <c r="G55" s="819"/>
      <c r="H55" s="819"/>
      <c r="I55" s="819"/>
      <c r="J55" s="819"/>
      <c r="K55" s="819"/>
    </row>
    <row r="56" spans="2:11" ht="22.5" customHeight="1">
      <c r="B56" s="794" t="s">
        <v>999</v>
      </c>
      <c r="C56" s="794"/>
      <c r="D56" s="794"/>
      <c r="E56" s="794"/>
      <c r="F56" s="794"/>
      <c r="G56" s="794"/>
      <c r="H56" s="794"/>
      <c r="I56" s="794"/>
      <c r="J56" s="794"/>
      <c r="K56" s="794"/>
    </row>
    <row r="57" spans="2:11" ht="22.5" customHeight="1">
      <c r="E57" s="66"/>
      <c r="F57" s="65"/>
      <c r="G57" s="66"/>
      <c r="H57" s="65"/>
      <c r="I57" s="32">
        <f>مفروضات!$C$3</f>
        <v>1402</v>
      </c>
      <c r="J57" s="33"/>
      <c r="K57" s="394">
        <v>1401</v>
      </c>
    </row>
    <row r="58" spans="2:11" ht="22.5" customHeight="1">
      <c r="B58" s="812"/>
      <c r="C58" s="812"/>
      <c r="D58" s="812"/>
      <c r="E58" s="812"/>
      <c r="F58" s="55"/>
      <c r="I58" s="58" t="s">
        <v>70</v>
      </c>
      <c r="J58" s="2"/>
      <c r="K58" s="58" t="s">
        <v>70</v>
      </c>
    </row>
    <row r="59" spans="2:11" ht="22.5" customHeight="1">
      <c r="B59" s="818" t="s">
        <v>668</v>
      </c>
      <c r="C59" s="818"/>
      <c r="D59" s="818"/>
      <c r="E59" s="818"/>
      <c r="F59" s="44"/>
      <c r="I59" s="304">
        <v>14325000</v>
      </c>
      <c r="J59" s="2"/>
      <c r="K59" s="304">
        <v>14325000</v>
      </c>
    </row>
    <row r="60" spans="2:11" ht="22.5" customHeight="1">
      <c r="B60" s="818" t="s">
        <v>669</v>
      </c>
      <c r="C60" s="818"/>
      <c r="D60" s="818" t="s">
        <v>669</v>
      </c>
      <c r="E60" s="818"/>
      <c r="F60" s="44"/>
      <c r="I60" s="304">
        <v>3568750000</v>
      </c>
      <c r="J60" s="2"/>
      <c r="K60" s="304">
        <v>3568750000</v>
      </c>
    </row>
    <row r="61" spans="2:11" ht="22.5" customHeight="1">
      <c r="B61" s="818" t="s">
        <v>670</v>
      </c>
      <c r="C61" s="818"/>
      <c r="D61" s="818"/>
      <c r="E61" s="818"/>
      <c r="F61" s="44"/>
      <c r="I61" s="304">
        <v>240000000</v>
      </c>
      <c r="J61" s="2"/>
      <c r="K61" s="304">
        <v>240000000</v>
      </c>
    </row>
    <row r="62" spans="2:11" ht="22.5" customHeight="1">
      <c r="B62" s="818" t="s">
        <v>671</v>
      </c>
      <c r="C62" s="818"/>
      <c r="D62" s="818"/>
      <c r="E62" s="818"/>
      <c r="F62" s="44"/>
      <c r="I62" s="49" t="s">
        <v>740</v>
      </c>
      <c r="J62" s="2"/>
      <c r="K62" s="49">
        <v>0</v>
      </c>
    </row>
    <row r="63" spans="2:11" ht="22.5" customHeight="1">
      <c r="B63" s="818" t="s">
        <v>672</v>
      </c>
      <c r="C63" s="818"/>
      <c r="D63" s="818"/>
      <c r="E63" s="818"/>
      <c r="F63" s="44"/>
      <c r="I63" s="304">
        <v>1223775000</v>
      </c>
      <c r="J63" s="2"/>
      <c r="K63" s="304">
        <v>926580000</v>
      </c>
    </row>
    <row r="64" spans="2:11" ht="22.5" customHeight="1">
      <c r="B64" s="818" t="s">
        <v>673</v>
      </c>
      <c r="C64" s="818"/>
      <c r="D64" s="818"/>
      <c r="E64" s="818"/>
      <c r="F64" s="44"/>
      <c r="I64" s="304">
        <v>80000000</v>
      </c>
      <c r="J64" s="2"/>
      <c r="K64" s="304">
        <v>80750000</v>
      </c>
    </row>
    <row r="65" spans="2:11" ht="22.5" customHeight="1">
      <c r="B65" s="818" t="s">
        <v>674</v>
      </c>
      <c r="C65" s="818"/>
      <c r="D65" s="818"/>
      <c r="E65" s="818"/>
      <c r="F65" s="44"/>
      <c r="I65" s="304">
        <v>712500000</v>
      </c>
      <c r="J65" s="2"/>
      <c r="K65" s="304">
        <v>225000000</v>
      </c>
    </row>
    <row r="66" spans="2:11" ht="22.5" customHeight="1">
      <c r="B66" s="818" t="s">
        <v>675</v>
      </c>
      <c r="C66" s="818"/>
      <c r="D66" s="818"/>
      <c r="E66" s="818"/>
      <c r="F66" s="44"/>
      <c r="I66" s="304">
        <v>50925000</v>
      </c>
      <c r="J66" s="2"/>
      <c r="K66" s="304">
        <v>50925000</v>
      </c>
    </row>
    <row r="67" spans="2:11" ht="22.5" customHeight="1">
      <c r="B67" s="818" t="s">
        <v>676</v>
      </c>
      <c r="C67" s="818"/>
      <c r="D67" s="818"/>
      <c r="E67" s="818"/>
      <c r="F67" s="44"/>
      <c r="I67" s="304">
        <v>393750000</v>
      </c>
      <c r="J67" s="2"/>
      <c r="K67" s="304">
        <v>393750000</v>
      </c>
    </row>
    <row r="68" spans="2:11" ht="22.5" customHeight="1">
      <c r="B68" s="818" t="s">
        <v>677</v>
      </c>
      <c r="C68" s="818"/>
      <c r="D68" s="818"/>
      <c r="E68" s="818"/>
      <c r="F68" s="44"/>
      <c r="I68" s="304">
        <v>74910000</v>
      </c>
      <c r="J68" s="2"/>
      <c r="K68" s="304">
        <v>112271250</v>
      </c>
    </row>
    <row r="69" spans="2:11" ht="22.5" customHeight="1">
      <c r="B69" s="818" t="s">
        <v>678</v>
      </c>
      <c r="C69" s="818"/>
      <c r="D69" s="818"/>
      <c r="E69" s="818"/>
      <c r="F69" s="44"/>
      <c r="I69" s="304">
        <v>236685070</v>
      </c>
      <c r="J69" s="2"/>
      <c r="K69" s="304">
        <v>176191320</v>
      </c>
    </row>
    <row r="70" spans="2:11" ht="22.5" customHeight="1">
      <c r="B70" s="818" t="s">
        <v>679</v>
      </c>
      <c r="C70" s="818"/>
      <c r="D70" s="818"/>
      <c r="E70" s="818"/>
      <c r="F70" s="44"/>
      <c r="I70" s="304">
        <v>180000000</v>
      </c>
      <c r="J70" s="2"/>
      <c r="K70" s="304">
        <v>690000000</v>
      </c>
    </row>
    <row r="71" spans="2:11" ht="22.5" customHeight="1">
      <c r="B71" s="818" t="s">
        <v>680</v>
      </c>
      <c r="C71" s="818"/>
      <c r="D71" s="818"/>
      <c r="E71" s="818"/>
      <c r="F71" s="44"/>
      <c r="I71" s="304">
        <v>167100000</v>
      </c>
      <c r="J71" s="2"/>
      <c r="K71" s="304">
        <v>285675000</v>
      </c>
    </row>
    <row r="72" spans="2:11" ht="22.5" customHeight="1">
      <c r="B72" s="818" t="s">
        <v>681</v>
      </c>
      <c r="C72" s="818"/>
      <c r="D72" s="818"/>
      <c r="E72" s="818"/>
      <c r="F72" s="44"/>
      <c r="I72" s="304">
        <v>334483750</v>
      </c>
      <c r="J72" s="2"/>
      <c r="K72" s="304">
        <v>484626250</v>
      </c>
    </row>
    <row r="73" spans="2:11" ht="22.5" customHeight="1">
      <c r="B73" s="818" t="s">
        <v>682</v>
      </c>
      <c r="C73" s="818"/>
      <c r="D73" s="818"/>
      <c r="E73" s="818"/>
      <c r="F73" s="44"/>
      <c r="I73" s="304">
        <v>450000000</v>
      </c>
      <c r="J73" s="2"/>
      <c r="K73" s="304">
        <v>450000000</v>
      </c>
    </row>
    <row r="74" spans="2:11" ht="22.5" customHeight="1">
      <c r="B74" s="818" t="s">
        <v>683</v>
      </c>
      <c r="C74" s="818"/>
      <c r="D74" s="818"/>
      <c r="E74" s="818"/>
      <c r="F74" s="44"/>
      <c r="I74" s="304">
        <v>156975000</v>
      </c>
      <c r="J74" s="2"/>
      <c r="K74" s="304">
        <v>156975000</v>
      </c>
    </row>
    <row r="75" spans="2:11" ht="22.5" customHeight="1">
      <c r="B75" s="818" t="s">
        <v>684</v>
      </c>
      <c r="C75" s="818"/>
      <c r="D75" s="818"/>
      <c r="E75" s="818"/>
      <c r="F75" s="44"/>
      <c r="I75" s="304">
        <v>124322500</v>
      </c>
      <c r="J75" s="2"/>
      <c r="K75" s="304">
        <v>309197500</v>
      </c>
    </row>
    <row r="76" spans="2:11" ht="22.5" customHeight="1">
      <c r="B76" s="818" t="s">
        <v>685</v>
      </c>
      <c r="C76" s="818"/>
      <c r="D76" s="818"/>
      <c r="E76" s="818"/>
      <c r="F76" s="44"/>
      <c r="I76" s="304">
        <v>401500000</v>
      </c>
      <c r="J76" s="2"/>
      <c r="K76" s="304">
        <v>367500000</v>
      </c>
    </row>
    <row r="77" spans="2:11" ht="22.5" customHeight="1">
      <c r="B77" s="818" t="s">
        <v>686</v>
      </c>
      <c r="C77" s="818"/>
      <c r="D77" s="818"/>
      <c r="E77" s="818"/>
      <c r="F77" s="44"/>
      <c r="I77" s="304">
        <v>1098750000</v>
      </c>
      <c r="J77" s="2"/>
      <c r="K77" s="304">
        <v>648750000</v>
      </c>
    </row>
    <row r="78" spans="2:11" ht="22.5" customHeight="1">
      <c r="B78" s="818" t="s">
        <v>687</v>
      </c>
      <c r="C78" s="818"/>
      <c r="D78" s="818"/>
      <c r="E78" s="818"/>
      <c r="F78" s="44"/>
      <c r="I78" s="304">
        <v>163750000</v>
      </c>
      <c r="J78" s="2"/>
      <c r="K78" s="304">
        <v>229750000</v>
      </c>
    </row>
    <row r="79" spans="2:11" ht="22.5" customHeight="1">
      <c r="B79" s="818" t="s">
        <v>688</v>
      </c>
      <c r="C79" s="818"/>
      <c r="D79" s="818"/>
      <c r="E79" s="818"/>
      <c r="F79" s="44"/>
      <c r="I79" s="49">
        <v>0</v>
      </c>
      <c r="J79" s="2"/>
      <c r="K79" s="304">
        <v>148375000</v>
      </c>
    </row>
    <row r="80" spans="2:11" ht="22.5" customHeight="1">
      <c r="B80" s="818" t="s">
        <v>689</v>
      </c>
      <c r="C80" s="818"/>
      <c r="D80" s="818"/>
      <c r="E80" s="818"/>
      <c r="F80" s="44"/>
      <c r="I80" s="304">
        <v>40455000</v>
      </c>
      <c r="J80" s="2"/>
      <c r="K80" s="304">
        <v>115455000</v>
      </c>
    </row>
    <row r="81" spans="2:11" ht="22.5" customHeight="1">
      <c r="B81" s="818" t="s">
        <v>690</v>
      </c>
      <c r="C81" s="818"/>
      <c r="D81" s="818"/>
      <c r="E81" s="818"/>
      <c r="F81" s="44"/>
      <c r="I81" s="304">
        <v>140000000</v>
      </c>
      <c r="J81" s="2"/>
      <c r="K81" s="304">
        <v>787953750</v>
      </c>
    </row>
    <row r="82" spans="2:11" ht="22.5" customHeight="1">
      <c r="B82" s="818" t="s">
        <v>691</v>
      </c>
      <c r="C82" s="818"/>
      <c r="D82" s="818"/>
      <c r="E82" s="818"/>
      <c r="F82" s="44"/>
      <c r="I82" s="304">
        <v>389152500</v>
      </c>
      <c r="J82" s="2"/>
      <c r="K82" s="304">
        <v>291262500</v>
      </c>
    </row>
    <row r="83" spans="2:11" ht="22.5" customHeight="1">
      <c r="B83" s="818" t="s">
        <v>692</v>
      </c>
      <c r="C83" s="818"/>
      <c r="D83" s="818"/>
      <c r="E83" s="818"/>
      <c r="F83" s="44"/>
      <c r="I83" s="304">
        <v>230425000</v>
      </c>
      <c r="J83" s="2"/>
      <c r="K83" s="304">
        <v>632555000</v>
      </c>
    </row>
    <row r="84" spans="2:11" ht="22.5" customHeight="1">
      <c r="B84" s="818" t="s">
        <v>693</v>
      </c>
      <c r="C84" s="818"/>
      <c r="D84" s="818"/>
      <c r="E84" s="818"/>
      <c r="F84" s="44"/>
      <c r="I84" s="304">
        <v>249850000</v>
      </c>
      <c r="J84" s="2"/>
      <c r="K84" s="304">
        <v>249850000</v>
      </c>
    </row>
    <row r="85" spans="2:11" ht="22.5" customHeight="1">
      <c r="B85" s="818" t="s">
        <v>694</v>
      </c>
      <c r="C85" s="818"/>
      <c r="D85" s="818"/>
      <c r="E85" s="818"/>
      <c r="F85" s="44"/>
      <c r="I85" s="304">
        <v>660017750</v>
      </c>
      <c r="J85" s="2"/>
      <c r="K85" s="304">
        <v>660017750</v>
      </c>
    </row>
    <row r="86" spans="2:11" ht="22.5" customHeight="1">
      <c r="B86" s="818" t="s">
        <v>695</v>
      </c>
      <c r="C86" s="818"/>
      <c r="D86" s="818"/>
      <c r="E86" s="818"/>
      <c r="F86" s="44"/>
      <c r="I86" s="304">
        <v>101087823</v>
      </c>
      <c r="J86" s="2"/>
      <c r="K86" s="304">
        <v>101087823</v>
      </c>
    </row>
    <row r="87" spans="2:11" ht="22.5" customHeight="1">
      <c r="B87" s="818" t="s">
        <v>696</v>
      </c>
      <c r="C87" s="818"/>
      <c r="D87" s="818"/>
      <c r="E87" s="818"/>
      <c r="F87" s="44"/>
      <c r="I87" s="304">
        <v>682350000</v>
      </c>
      <c r="J87" s="2"/>
      <c r="K87" s="304">
        <v>367350000</v>
      </c>
    </row>
    <row r="88" spans="2:11" ht="22.5" customHeight="1">
      <c r="B88" s="818" t="s">
        <v>697</v>
      </c>
      <c r="C88" s="818"/>
      <c r="D88" s="818"/>
      <c r="E88" s="818"/>
      <c r="F88" s="44"/>
      <c r="I88" s="304">
        <v>1231762500</v>
      </c>
      <c r="J88" s="2"/>
      <c r="K88" s="304">
        <v>1321762500</v>
      </c>
    </row>
    <row r="89" spans="2:11" ht="22.5" customHeight="1">
      <c r="B89" s="818" t="s">
        <v>698</v>
      </c>
      <c r="C89" s="818"/>
      <c r="D89" s="818"/>
      <c r="E89" s="818"/>
      <c r="F89" s="44"/>
      <c r="I89" s="304">
        <v>60000000</v>
      </c>
      <c r="J89" s="2"/>
      <c r="K89" s="304">
        <v>600000000</v>
      </c>
    </row>
    <row r="90" spans="2:11" ht="22.5" customHeight="1">
      <c r="B90" s="818" t="s">
        <v>699</v>
      </c>
      <c r="C90" s="818"/>
      <c r="D90" s="818"/>
      <c r="E90" s="818"/>
      <c r="F90" s="44"/>
      <c r="I90" s="304">
        <v>3096627500</v>
      </c>
      <c r="J90" s="2"/>
      <c r="K90" s="304">
        <v>1006627500</v>
      </c>
    </row>
    <row r="91" spans="2:11" ht="22.5" customHeight="1">
      <c r="B91" s="818" t="s">
        <v>700</v>
      </c>
      <c r="C91" s="818"/>
      <c r="D91" s="818"/>
      <c r="E91" s="818"/>
      <c r="F91" s="44"/>
      <c r="I91" s="304">
        <v>296210667</v>
      </c>
      <c r="J91" s="2"/>
      <c r="K91" s="304">
        <v>399110667</v>
      </c>
    </row>
    <row r="92" spans="2:11" ht="22.5" customHeight="1">
      <c r="B92" s="818" t="s">
        <v>701</v>
      </c>
      <c r="C92" s="818"/>
      <c r="D92" s="818"/>
      <c r="E92" s="818"/>
      <c r="F92" s="44"/>
      <c r="I92" s="304">
        <v>180000000</v>
      </c>
      <c r="J92" s="2"/>
      <c r="K92" s="304">
        <v>180000000</v>
      </c>
    </row>
    <row r="93" spans="2:11" ht="22.5" customHeight="1">
      <c r="B93" s="818" t="s">
        <v>702</v>
      </c>
      <c r="C93" s="818"/>
      <c r="D93" s="818"/>
      <c r="E93" s="818"/>
      <c r="F93" s="44"/>
      <c r="I93" s="304">
        <v>256695000</v>
      </c>
      <c r="J93" s="2"/>
      <c r="K93" s="304">
        <v>234960000</v>
      </c>
    </row>
    <row r="94" spans="2:11" ht="22.5" customHeight="1">
      <c r="B94" s="818" t="s">
        <v>703</v>
      </c>
      <c r="C94" s="818"/>
      <c r="D94" s="818"/>
      <c r="E94" s="818"/>
      <c r="F94" s="44"/>
      <c r="I94" s="304">
        <v>607383750</v>
      </c>
      <c r="J94" s="2"/>
      <c r="K94" s="304">
        <v>435108750</v>
      </c>
    </row>
    <row r="95" spans="2:11" ht="22.5" customHeight="1">
      <c r="B95" s="818" t="s">
        <v>704</v>
      </c>
      <c r="C95" s="818"/>
      <c r="D95" s="818"/>
      <c r="E95" s="818"/>
      <c r="F95" s="44"/>
      <c r="I95" s="304">
        <v>608643750</v>
      </c>
      <c r="J95" s="2"/>
      <c r="K95" s="304">
        <v>338643750</v>
      </c>
    </row>
    <row r="96" spans="2:11" ht="22.5" customHeight="1">
      <c r="B96" s="818" t="s">
        <v>705</v>
      </c>
      <c r="C96" s="818"/>
      <c r="D96" s="818"/>
      <c r="E96" s="818"/>
      <c r="F96" s="44"/>
      <c r="I96" s="440">
        <v>0</v>
      </c>
      <c r="J96" s="2"/>
      <c r="K96" s="304">
        <v>150000000</v>
      </c>
    </row>
    <row r="97" spans="2:11" ht="22.5" customHeight="1">
      <c r="B97" s="818" t="s">
        <v>706</v>
      </c>
      <c r="C97" s="818"/>
      <c r="D97" s="818"/>
      <c r="E97" s="818"/>
      <c r="F97" s="44"/>
      <c r="I97" s="304">
        <v>379046250</v>
      </c>
      <c r="J97" s="2"/>
      <c r="K97" s="304">
        <v>361991250</v>
      </c>
    </row>
    <row r="98" spans="2:11" ht="22.5" customHeight="1">
      <c r="B98" s="818" t="s">
        <v>707</v>
      </c>
      <c r="C98" s="818"/>
      <c r="D98" s="818"/>
      <c r="E98" s="818"/>
      <c r="F98" s="44"/>
      <c r="I98" s="304">
        <v>992000000</v>
      </c>
      <c r="J98" s="2"/>
      <c r="K98" s="304">
        <v>444500000</v>
      </c>
    </row>
    <row r="99" spans="2:11" ht="22.5" customHeight="1">
      <c r="B99" s="818" t="s">
        <v>708</v>
      </c>
      <c r="C99" s="818"/>
      <c r="D99" s="818"/>
      <c r="E99" s="818"/>
      <c r="F99" s="44"/>
      <c r="I99" s="304">
        <v>623723250</v>
      </c>
      <c r="J99" s="2"/>
      <c r="K99" s="304">
        <v>398723250</v>
      </c>
    </row>
    <row r="100" spans="2:11" ht="22.5" customHeight="1">
      <c r="B100" s="818" t="s">
        <v>709</v>
      </c>
      <c r="C100" s="818"/>
      <c r="D100" s="818"/>
      <c r="E100" s="818"/>
      <c r="F100" s="44"/>
      <c r="I100" s="304">
        <v>240510550</v>
      </c>
      <c r="J100" s="2"/>
      <c r="K100" s="304">
        <v>187812300</v>
      </c>
    </row>
    <row r="101" spans="2:11" ht="22.5" customHeight="1">
      <c r="B101" s="818" t="s">
        <v>710</v>
      </c>
      <c r="C101" s="818"/>
      <c r="D101" s="818"/>
      <c r="E101" s="818"/>
      <c r="F101" s="44"/>
      <c r="I101" s="304">
        <v>156256275</v>
      </c>
      <c r="J101" s="2"/>
      <c r="K101" s="304">
        <v>156256275</v>
      </c>
    </row>
    <row r="102" spans="2:11" ht="22.5" customHeight="1">
      <c r="B102" s="818" t="s">
        <v>711</v>
      </c>
      <c r="C102" s="818"/>
      <c r="D102" s="818"/>
      <c r="E102" s="818"/>
      <c r="F102" s="44"/>
      <c r="I102" s="304">
        <v>219442500</v>
      </c>
      <c r="J102" s="2"/>
      <c r="K102" s="304">
        <v>245917500</v>
      </c>
    </row>
    <row r="103" spans="2:11" ht="22.5" customHeight="1">
      <c r="B103" s="818" t="s">
        <v>712</v>
      </c>
      <c r="C103" s="818"/>
      <c r="D103" s="818"/>
      <c r="E103" s="818"/>
      <c r="F103" s="44"/>
      <c r="I103" s="304">
        <v>111810000</v>
      </c>
      <c r="J103" s="2"/>
      <c r="K103" s="304">
        <v>111810000</v>
      </c>
    </row>
    <row r="104" spans="2:11" ht="22.5" customHeight="1">
      <c r="B104" s="818" t="s">
        <v>713</v>
      </c>
      <c r="C104" s="818"/>
      <c r="D104" s="818"/>
      <c r="E104" s="818"/>
      <c r="F104" s="44"/>
      <c r="I104" s="304">
        <v>706250000</v>
      </c>
      <c r="J104" s="2"/>
      <c r="K104" s="304">
        <v>764250000</v>
      </c>
    </row>
    <row r="105" spans="2:11" ht="22.5" customHeight="1">
      <c r="B105" s="818" t="s">
        <v>714</v>
      </c>
      <c r="C105" s="818"/>
      <c r="D105" s="818"/>
      <c r="E105" s="818"/>
      <c r="F105" s="44"/>
      <c r="I105" s="440">
        <v>0</v>
      </c>
      <c r="J105" s="2"/>
      <c r="K105" s="304">
        <v>179250200</v>
      </c>
    </row>
    <row r="106" spans="2:11" ht="22.5" customHeight="1">
      <c r="B106" s="818" t="s">
        <v>715</v>
      </c>
      <c r="C106" s="818"/>
      <c r="D106" s="818"/>
      <c r="E106" s="818"/>
      <c r="F106" s="44"/>
      <c r="I106" s="304">
        <v>370087500</v>
      </c>
      <c r="J106" s="2"/>
      <c r="K106" s="304">
        <v>370087500</v>
      </c>
    </row>
    <row r="107" spans="2:11" ht="22.5" customHeight="1">
      <c r="B107" s="818" t="s">
        <v>716</v>
      </c>
      <c r="C107" s="818"/>
      <c r="D107" s="818"/>
      <c r="E107" s="818"/>
      <c r="F107" s="44"/>
      <c r="I107" s="304">
        <v>313537500</v>
      </c>
      <c r="J107" s="2"/>
      <c r="K107" s="304">
        <v>480058750</v>
      </c>
    </row>
    <row r="108" spans="2:11" ht="22.5" customHeight="1">
      <c r="B108" s="818" t="s">
        <v>717</v>
      </c>
      <c r="C108" s="818"/>
      <c r="D108" s="818"/>
      <c r="E108" s="818"/>
      <c r="F108" s="44"/>
      <c r="I108" s="304">
        <v>334327500</v>
      </c>
      <c r="J108" s="2"/>
      <c r="K108" s="304">
        <v>334327500</v>
      </c>
    </row>
    <row r="109" spans="2:11" ht="22.5" customHeight="1">
      <c r="B109" s="818" t="s">
        <v>718</v>
      </c>
      <c r="C109" s="818"/>
      <c r="D109" s="818"/>
      <c r="E109" s="818"/>
      <c r="F109" s="44"/>
      <c r="I109" s="304">
        <v>826342500</v>
      </c>
      <c r="J109" s="2"/>
      <c r="K109" s="304">
        <v>676342500</v>
      </c>
    </row>
    <row r="110" spans="2:11" ht="22.5" customHeight="1">
      <c r="B110" s="818" t="s">
        <v>719</v>
      </c>
      <c r="C110" s="818"/>
      <c r="D110" s="818"/>
      <c r="E110" s="818"/>
      <c r="F110" s="44"/>
      <c r="I110" s="304">
        <v>859462500</v>
      </c>
      <c r="J110" s="2"/>
      <c r="K110" s="304">
        <v>803062500</v>
      </c>
    </row>
    <row r="111" spans="2:11" ht="22.5" customHeight="1">
      <c r="B111" s="818" t="s">
        <v>720</v>
      </c>
      <c r="C111" s="818"/>
      <c r="D111" s="818"/>
      <c r="E111" s="818"/>
      <c r="F111" s="44"/>
      <c r="I111" s="304">
        <v>540903750</v>
      </c>
      <c r="J111" s="2"/>
      <c r="K111" s="304">
        <v>540903750</v>
      </c>
    </row>
    <row r="112" spans="2:11" ht="22.5" customHeight="1">
      <c r="B112" s="818" t="s">
        <v>721</v>
      </c>
      <c r="C112" s="818"/>
      <c r="D112" s="818"/>
      <c r="E112" s="818"/>
      <c r="F112" s="55"/>
      <c r="I112" s="304">
        <v>515801250</v>
      </c>
      <c r="J112" s="2"/>
      <c r="K112" s="304">
        <v>411412500</v>
      </c>
    </row>
    <row r="113" spans="2:11" ht="22.5" customHeight="1">
      <c r="B113" s="818" t="s">
        <v>722</v>
      </c>
      <c r="C113" s="818"/>
      <c r="D113" s="818"/>
      <c r="E113" s="818"/>
      <c r="F113" s="44"/>
      <c r="G113" s="439"/>
      <c r="I113" s="304">
        <v>472125000</v>
      </c>
      <c r="J113" s="2"/>
      <c r="K113" s="304">
        <v>314625000</v>
      </c>
    </row>
    <row r="114" spans="2:11" ht="22.5" customHeight="1">
      <c r="B114" s="818" t="s">
        <v>723</v>
      </c>
      <c r="C114" s="818"/>
      <c r="D114" s="818"/>
      <c r="E114" s="818"/>
      <c r="F114" s="55"/>
      <c r="G114" s="439"/>
      <c r="I114" s="440">
        <v>0</v>
      </c>
      <c r="J114" s="2"/>
      <c r="K114" s="304">
        <v>18375000</v>
      </c>
    </row>
    <row r="115" spans="2:11" ht="22.5" customHeight="1">
      <c r="B115" s="818" t="s">
        <v>724</v>
      </c>
      <c r="C115" s="818"/>
      <c r="D115" s="818"/>
      <c r="E115" s="818"/>
      <c r="F115" s="55"/>
      <c r="G115" s="439"/>
      <c r="I115" s="304">
        <v>291000000</v>
      </c>
      <c r="J115" s="2"/>
      <c r="K115" s="304">
        <v>291000000</v>
      </c>
    </row>
    <row r="116" spans="2:11" ht="22.5" customHeight="1">
      <c r="B116" s="818" t="s">
        <v>725</v>
      </c>
      <c r="C116" s="818"/>
      <c r="D116" s="818"/>
      <c r="E116" s="818"/>
      <c r="F116" s="55"/>
      <c r="G116" s="439"/>
      <c r="I116" s="440">
        <v>0</v>
      </c>
      <c r="J116" s="2"/>
      <c r="K116" s="304">
        <v>139031450</v>
      </c>
    </row>
    <row r="117" spans="2:11" ht="22.5" customHeight="1">
      <c r="B117" s="818" t="s">
        <v>726</v>
      </c>
      <c r="C117" s="818"/>
      <c r="D117" s="818"/>
      <c r="E117" s="818"/>
      <c r="F117" s="55"/>
      <c r="G117" s="439"/>
      <c r="I117" s="304">
        <v>56088750</v>
      </c>
      <c r="J117" s="2"/>
      <c r="K117" s="304">
        <v>179493000</v>
      </c>
    </row>
    <row r="118" spans="2:11" ht="22.5" customHeight="1">
      <c r="B118" s="818" t="s">
        <v>727</v>
      </c>
      <c r="C118" s="818"/>
      <c r="D118" s="818"/>
      <c r="E118" s="818"/>
      <c r="F118" s="55"/>
      <c r="G118" s="439"/>
      <c r="I118" s="304">
        <v>199912500</v>
      </c>
      <c r="J118" s="2"/>
      <c r="K118" s="304">
        <v>199912500</v>
      </c>
    </row>
    <row r="119" spans="2:11" ht="22.5" customHeight="1">
      <c r="B119" s="818" t="s">
        <v>728</v>
      </c>
      <c r="C119" s="818"/>
      <c r="D119" s="818"/>
      <c r="E119" s="818"/>
      <c r="F119" s="55"/>
      <c r="G119" s="439"/>
      <c r="I119" s="304">
        <v>847915000</v>
      </c>
      <c r="J119" s="2"/>
      <c r="K119" s="304">
        <v>847915000</v>
      </c>
    </row>
    <row r="120" spans="2:11" ht="22.5" customHeight="1">
      <c r="B120" s="818" t="s">
        <v>729</v>
      </c>
      <c r="C120" s="818"/>
      <c r="D120" s="818"/>
      <c r="E120" s="818"/>
      <c r="F120" s="55"/>
      <c r="G120" s="439"/>
      <c r="I120" s="304">
        <v>750605250</v>
      </c>
      <c r="J120" s="2"/>
      <c r="K120" s="304">
        <v>413105250</v>
      </c>
    </row>
    <row r="121" spans="2:11" ht="22.5" customHeight="1">
      <c r="B121" s="818" t="s">
        <v>730</v>
      </c>
      <c r="C121" s="818"/>
      <c r="D121" s="818"/>
      <c r="E121" s="818"/>
      <c r="F121" s="55"/>
      <c r="G121" s="439"/>
      <c r="I121" s="304">
        <v>33750000</v>
      </c>
      <c r="J121" s="2"/>
      <c r="K121" s="304">
        <v>306301250</v>
      </c>
    </row>
    <row r="122" spans="2:11" ht="22.5" customHeight="1">
      <c r="B122" s="818" t="s">
        <v>731</v>
      </c>
      <c r="C122" s="818"/>
      <c r="D122" s="818"/>
      <c r="E122" s="818"/>
      <c r="F122" s="55"/>
      <c r="G122" s="439"/>
      <c r="I122" s="304">
        <v>837375000</v>
      </c>
      <c r="J122" s="2"/>
      <c r="K122" s="304">
        <v>724875000</v>
      </c>
    </row>
    <row r="123" spans="2:11" ht="22.5" customHeight="1">
      <c r="B123" s="818" t="s">
        <v>732</v>
      </c>
      <c r="C123" s="818"/>
      <c r="D123" s="818"/>
      <c r="E123" s="818"/>
      <c r="F123" s="55"/>
      <c r="G123" s="439"/>
      <c r="I123" s="440">
        <v>0</v>
      </c>
      <c r="J123" s="2"/>
      <c r="K123" s="304">
        <v>117673875</v>
      </c>
    </row>
    <row r="124" spans="2:11" ht="22.5" customHeight="1">
      <c r="B124" s="818" t="s">
        <v>733</v>
      </c>
      <c r="C124" s="818"/>
      <c r="D124" s="818"/>
      <c r="E124" s="818"/>
      <c r="F124" s="55"/>
      <c r="G124" s="439"/>
      <c r="I124" s="304">
        <v>122265000</v>
      </c>
      <c r="J124" s="2"/>
      <c r="K124" s="304">
        <v>122265000</v>
      </c>
    </row>
    <row r="125" spans="2:11" ht="22.5" customHeight="1">
      <c r="B125" s="818" t="s">
        <v>734</v>
      </c>
      <c r="C125" s="818"/>
      <c r="D125" s="818"/>
      <c r="E125" s="818"/>
      <c r="F125" s="55"/>
      <c r="G125" s="439"/>
      <c r="I125" s="304">
        <v>299801250</v>
      </c>
      <c r="J125" s="2"/>
      <c r="K125" s="304">
        <v>352301250</v>
      </c>
    </row>
    <row r="126" spans="2:11" ht="22.5" customHeight="1">
      <c r="B126" s="818" t="s">
        <v>735</v>
      </c>
      <c r="C126" s="818"/>
      <c r="D126" s="818"/>
      <c r="E126" s="818"/>
      <c r="F126" s="55"/>
      <c r="G126" s="439"/>
      <c r="I126" s="304">
        <v>123390000</v>
      </c>
      <c r="J126" s="2"/>
      <c r="K126" s="304">
        <v>123390000</v>
      </c>
    </row>
    <row r="127" spans="2:11" ht="22.5" customHeight="1">
      <c r="B127" s="818" t="s">
        <v>736</v>
      </c>
      <c r="C127" s="818"/>
      <c r="D127" s="818"/>
      <c r="E127" s="818"/>
      <c r="F127" s="55"/>
      <c r="G127" s="439"/>
      <c r="I127" s="304">
        <v>216525950</v>
      </c>
      <c r="J127" s="2"/>
      <c r="K127" s="304">
        <v>234150950</v>
      </c>
    </row>
    <row r="128" spans="2:11" ht="22.5" customHeight="1">
      <c r="B128" s="818" t="s">
        <v>737</v>
      </c>
      <c r="C128" s="818"/>
      <c r="D128" s="818"/>
      <c r="E128" s="818"/>
      <c r="F128" s="55"/>
      <c r="G128" s="439"/>
      <c r="I128" s="304">
        <v>291375000</v>
      </c>
      <c r="J128" s="2"/>
      <c r="K128" s="304">
        <v>401250000</v>
      </c>
    </row>
    <row r="129" spans="2:12" ht="22.5" customHeight="1">
      <c r="B129" s="818" t="s">
        <v>738</v>
      </c>
      <c r="C129" s="818"/>
      <c r="D129" s="818"/>
      <c r="E129" s="818"/>
      <c r="F129" s="55"/>
      <c r="G129" s="439"/>
      <c r="I129" s="304">
        <v>129825000</v>
      </c>
      <c r="J129" s="2"/>
      <c r="K129" s="304">
        <v>166350000</v>
      </c>
    </row>
    <row r="130" spans="2:12" ht="22.5" customHeight="1">
      <c r="B130" s="818" t="s">
        <v>739</v>
      </c>
      <c r="C130" s="818"/>
      <c r="D130" s="818"/>
      <c r="E130" s="818"/>
      <c r="F130" s="55"/>
      <c r="G130" s="439"/>
      <c r="I130" s="304">
        <f>42405410886-30364617585</f>
        <v>12040793301</v>
      </c>
      <c r="J130" s="2"/>
      <c r="K130" s="304">
        <v>5526810495</v>
      </c>
    </row>
    <row r="131" spans="2:12" ht="22.5" customHeight="1" thickBot="1">
      <c r="I131" s="441">
        <f>SUM(I59:I130)</f>
        <v>42405410886</v>
      </c>
      <c r="J131" s="2"/>
      <c r="K131" s="441">
        <f>SUM(K59:K130)</f>
        <v>34376667105</v>
      </c>
    </row>
    <row r="132" spans="2:12" ht="22.5" customHeight="1" thickTop="1">
      <c r="I132" s="2"/>
      <c r="J132" s="2"/>
      <c r="K132" s="2"/>
    </row>
    <row r="133" spans="2:12" ht="22.5" customHeight="1">
      <c r="B133" s="813" t="s">
        <v>1002</v>
      </c>
      <c r="C133" s="813"/>
      <c r="D133" s="813"/>
      <c r="E133" s="813"/>
      <c r="F133" s="813"/>
      <c r="G133" s="813"/>
      <c r="H133" s="813"/>
      <c r="I133" s="813"/>
      <c r="J133" s="813"/>
      <c r="K133" s="813"/>
      <c r="L133" s="35"/>
    </row>
    <row r="134" spans="2:12" ht="21">
      <c r="B134" s="813" t="s">
        <v>1003</v>
      </c>
      <c r="C134" s="813"/>
      <c r="D134" s="813"/>
      <c r="E134" s="813"/>
      <c r="F134" s="813"/>
      <c r="G134" s="813"/>
      <c r="H134" s="813"/>
      <c r="I134" s="813"/>
      <c r="J134" s="813"/>
      <c r="K134" s="813"/>
    </row>
    <row r="135" spans="2:12" ht="21">
      <c r="B135" s="813" t="s">
        <v>1004</v>
      </c>
      <c r="C135" s="813"/>
      <c r="D135" s="813"/>
      <c r="E135" s="813"/>
      <c r="F135" s="813"/>
      <c r="G135" s="813"/>
      <c r="H135" s="813"/>
      <c r="I135" s="813"/>
      <c r="J135" s="813"/>
      <c r="K135" s="813"/>
    </row>
    <row r="136" spans="2:12" ht="21">
      <c r="B136" s="813" t="s">
        <v>1154</v>
      </c>
      <c r="C136" s="813"/>
      <c r="D136" s="813"/>
      <c r="E136" s="813"/>
      <c r="F136" s="813"/>
      <c r="G136" s="813"/>
      <c r="H136" s="813"/>
      <c r="I136" s="813"/>
      <c r="J136" s="813"/>
      <c r="K136" s="813"/>
    </row>
  </sheetData>
  <mergeCells count="103">
    <mergeCell ref="B55:K55"/>
    <mergeCell ref="B49:C49"/>
    <mergeCell ref="B50:C50"/>
    <mergeCell ref="B51:C51"/>
    <mergeCell ref="B52:C52"/>
    <mergeCell ref="B53:C53"/>
    <mergeCell ref="B54:C54"/>
    <mergeCell ref="B105:E105"/>
    <mergeCell ref="B98:E98"/>
    <mergeCell ref="B99:E99"/>
    <mergeCell ref="B100:E100"/>
    <mergeCell ref="B101:E101"/>
    <mergeCell ref="B102:E102"/>
    <mergeCell ref="B84:E84"/>
    <mergeCell ref="B85:E85"/>
    <mergeCell ref="B86:E86"/>
    <mergeCell ref="B87:E87"/>
    <mergeCell ref="B94:E94"/>
    <mergeCell ref="B58:E58"/>
    <mergeCell ref="B77:E77"/>
    <mergeCell ref="B78:E78"/>
    <mergeCell ref="B79:E79"/>
    <mergeCell ref="B80:E80"/>
    <mergeCell ref="B115:E115"/>
    <mergeCell ref="B116:E116"/>
    <mergeCell ref="B117:E117"/>
    <mergeCell ref="B118:E118"/>
    <mergeCell ref="B119:E119"/>
    <mergeCell ref="B103:E103"/>
    <mergeCell ref="B104:E104"/>
    <mergeCell ref="B88:E88"/>
    <mergeCell ref="B89:E89"/>
    <mergeCell ref="B112:E112"/>
    <mergeCell ref="B108:E108"/>
    <mergeCell ref="B109:E109"/>
    <mergeCell ref="B110:E110"/>
    <mergeCell ref="B111:E111"/>
    <mergeCell ref="B106:E106"/>
    <mergeCell ref="B107:E107"/>
    <mergeCell ref="B95:E95"/>
    <mergeCell ref="B96:E96"/>
    <mergeCell ref="B97:E97"/>
    <mergeCell ref="B90:E90"/>
    <mergeCell ref="B91:E91"/>
    <mergeCell ref="B92:E92"/>
    <mergeCell ref="B93:E93"/>
    <mergeCell ref="B114:E114"/>
    <mergeCell ref="B136:K136"/>
    <mergeCell ref="B120:E120"/>
    <mergeCell ref="B130:E130"/>
    <mergeCell ref="B121:E121"/>
    <mergeCell ref="B122:E122"/>
    <mergeCell ref="B123:E123"/>
    <mergeCell ref="B124:E124"/>
    <mergeCell ref="B125:E125"/>
    <mergeCell ref="B129:E129"/>
    <mergeCell ref="B133:K133"/>
    <mergeCell ref="B134:K134"/>
    <mergeCell ref="B126:E126"/>
    <mergeCell ref="B127:E127"/>
    <mergeCell ref="B128:E128"/>
    <mergeCell ref="B135:K135"/>
    <mergeCell ref="B113:E113"/>
    <mergeCell ref="B56:K56"/>
    <mergeCell ref="B59:E59"/>
    <mergeCell ref="B60:E60"/>
    <mergeCell ref="B61:E61"/>
    <mergeCell ref="B62:E62"/>
    <mergeCell ref="B63:E63"/>
    <mergeCell ref="B64:E64"/>
    <mergeCell ref="B65:E65"/>
    <mergeCell ref="B66:E66"/>
    <mergeCell ref="B68:E68"/>
    <mergeCell ref="B69:E69"/>
    <mergeCell ref="B70:E70"/>
    <mergeCell ref="B71:E71"/>
    <mergeCell ref="B81:E81"/>
    <mergeCell ref="B82:E82"/>
    <mergeCell ref="B83:E83"/>
    <mergeCell ref="B67:E67"/>
    <mergeCell ref="B72:E72"/>
    <mergeCell ref="B73:E73"/>
    <mergeCell ref="B74:E74"/>
    <mergeCell ref="B75:E75"/>
    <mergeCell ref="B76:E76"/>
    <mergeCell ref="E15:I15"/>
    <mergeCell ref="E23:I23"/>
    <mergeCell ref="B22:K22"/>
    <mergeCell ref="B14:K14"/>
    <mergeCell ref="A1:K1"/>
    <mergeCell ref="B2:K2"/>
    <mergeCell ref="B3:K3"/>
    <mergeCell ref="B5:K5"/>
    <mergeCell ref="E6:I6"/>
    <mergeCell ref="B27:C27"/>
    <mergeCell ref="B46:K46"/>
    <mergeCell ref="B48:E48"/>
    <mergeCell ref="B38:K38"/>
    <mergeCell ref="B32:K32"/>
    <mergeCell ref="B33:K33"/>
    <mergeCell ref="B42:C42"/>
    <mergeCell ref="B43:C43"/>
    <mergeCell ref="B36:C36"/>
  </mergeCells>
  <printOptions horizontalCentered="1"/>
  <pageMargins left="0.55118110236220474" right="0.70866141732283472" top="0.47244094488188981" bottom="0.74803149606299213" header="0.31496062992125984" footer="0.31496062992125984"/>
  <pageSetup paperSize="9" scale="83" firstPageNumber="17" orientation="portrait" useFirstPageNumber="1" r:id="rId1"/>
  <headerFooter>
    <oddFooter>&amp;C&amp;"B Nazanin,Regular"&amp;14&amp;P</oddFooter>
  </headerFooter>
  <rowBreaks count="3" manualBreakCount="3">
    <brk id="32" max="11" man="1"/>
    <brk id="72" max="11" man="1"/>
    <brk id="110"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2"/>
  <sheetViews>
    <sheetView rightToLeft="1" view="pageLayout" zoomScale="70" zoomScaleNormal="100" zoomScaleSheetLayoutView="100" zoomScalePageLayoutView="70" workbookViewId="0">
      <selection activeCell="G8" sqref="G8"/>
    </sheetView>
  </sheetViews>
  <sheetFormatPr defaultColWidth="9" defaultRowHeight="21"/>
  <cols>
    <col min="1" max="1" width="2.7109375" style="1" customWidth="1"/>
    <col min="2" max="2" width="35.5703125" style="35" customWidth="1"/>
    <col min="3" max="3" width="1.140625" style="35" customWidth="1"/>
    <col min="4" max="4" width="15.5703125" style="1" customWidth="1"/>
    <col min="5" max="5" width="0.7109375" style="1" customWidth="1"/>
    <col min="6" max="6" width="12.85546875" style="1" customWidth="1"/>
    <col min="7" max="7" width="0.5703125" style="1" customWidth="1"/>
    <col min="8" max="8" width="13" style="1" customWidth="1"/>
    <col min="9" max="9" width="0.5703125" style="1" customWidth="1"/>
    <col min="10" max="10" width="11.28515625" style="1" customWidth="1"/>
    <col min="11" max="11" width="0.85546875" style="1" customWidth="1"/>
    <col min="12" max="12" width="5.85546875" style="31" customWidth="1"/>
    <col min="13" max="13" width="1" style="31" hidden="1" customWidth="1"/>
    <col min="14" max="14" width="8.85546875" style="31" hidden="1" customWidth="1"/>
    <col min="15" max="15" width="0.85546875" style="31" hidden="1" customWidth="1"/>
    <col min="16" max="16" width="8.85546875" style="31" hidden="1" customWidth="1"/>
    <col min="17" max="17" width="0.7109375" style="31" hidden="1" customWidth="1"/>
    <col min="18" max="18" width="8.85546875" style="31" hidden="1" customWidth="1"/>
    <col min="19" max="19" width="0.7109375" style="31" hidden="1" customWidth="1"/>
    <col min="20" max="20" width="8.85546875" style="31" hidden="1" customWidth="1"/>
    <col min="21" max="21" width="0.7109375" style="31" hidden="1" customWidth="1"/>
    <col min="22" max="22" width="10.7109375" style="31" hidden="1" customWidth="1"/>
    <col min="23" max="23" width="0.7109375" style="31" customWidth="1"/>
    <col min="24" max="24" width="19.85546875" style="31" customWidth="1"/>
    <col min="25" max="25" width="0.7109375" style="1" customWidth="1"/>
    <col min="26" max="26" width="10.28515625" style="2" hidden="1" customWidth="1"/>
    <col min="27" max="27" width="0.7109375" style="2" hidden="1" customWidth="1"/>
    <col min="28" max="28" width="11.140625" style="2" hidden="1" customWidth="1"/>
    <col min="29" max="29" width="0.5703125" style="2" hidden="1" customWidth="1"/>
    <col min="30" max="30" width="9.140625" style="2" hidden="1" customWidth="1"/>
    <col min="31" max="31" width="0.42578125" style="2" hidden="1" customWidth="1"/>
    <col min="32" max="32" width="8.140625" style="2" hidden="1" customWidth="1"/>
    <col min="33" max="33" width="0.42578125" style="2" hidden="1" customWidth="1"/>
    <col min="34" max="34" width="8.7109375" style="2" hidden="1" customWidth="1"/>
    <col min="35" max="35" width="0.7109375" style="2" hidden="1" customWidth="1"/>
    <col min="36" max="36" width="7.5703125" style="2" hidden="1" customWidth="1"/>
    <col min="37" max="37" width="0.42578125" style="1" hidden="1" customWidth="1"/>
    <col min="38" max="38" width="12.85546875" style="1" hidden="1" customWidth="1"/>
    <col min="39" max="39" width="0.7109375" style="1" hidden="1" customWidth="1"/>
    <col min="40" max="40" width="11" style="1" hidden="1" customWidth="1"/>
    <col min="41" max="41" width="0.5703125" style="1" hidden="1" customWidth="1"/>
    <col min="42" max="42" width="10.85546875" style="1" hidden="1" customWidth="1"/>
    <col min="43" max="43" width="0.5703125" style="1" hidden="1" customWidth="1"/>
    <col min="44" max="44" width="11.42578125" style="1" hidden="1" customWidth="1"/>
    <col min="45" max="45" width="0.85546875" style="1" hidden="1" customWidth="1"/>
    <col min="46" max="46" width="10.140625" style="1" hidden="1" customWidth="1"/>
    <col min="47" max="47" width="0.7109375" style="1" customWidth="1"/>
    <col min="48" max="48" width="17.28515625" style="1" customWidth="1"/>
    <col min="49" max="49" width="0.7109375" style="1" customWidth="1"/>
    <col min="50" max="50" width="19.42578125" style="1" customWidth="1"/>
    <col min="51" max="51" width="28.140625" style="1" customWidth="1"/>
    <col min="52" max="52" width="17.140625" style="1" customWidth="1"/>
    <col min="53" max="16384" width="9" style="1"/>
  </cols>
  <sheetData>
    <row r="1" spans="1:53" ht="21.75">
      <c r="A1" s="765" t="str">
        <f>مفروضات!$C$1</f>
        <v>دانشگاه علوم پزشکی و خدمات بهداشتی درمانی سمنان</v>
      </c>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c r="AB1" s="766"/>
      <c r="AC1" s="766"/>
      <c r="AD1" s="766"/>
      <c r="AE1" s="766"/>
      <c r="AF1" s="766"/>
      <c r="AG1" s="766"/>
      <c r="AH1" s="766"/>
      <c r="AI1" s="766"/>
      <c r="AJ1" s="766"/>
      <c r="AK1" s="766"/>
      <c r="AL1" s="766"/>
      <c r="AM1" s="766"/>
      <c r="AN1" s="766"/>
      <c r="AO1" s="766"/>
      <c r="AP1" s="766"/>
      <c r="AQ1" s="766"/>
      <c r="AR1" s="766"/>
      <c r="AS1" s="766"/>
      <c r="AT1" s="766"/>
      <c r="AU1" s="766"/>
      <c r="AV1" s="766"/>
      <c r="AW1" s="766"/>
      <c r="AX1" s="766"/>
      <c r="AY1" s="25"/>
      <c r="AZ1" s="25"/>
      <c r="BA1" s="25"/>
    </row>
    <row r="2" spans="1:53" s="26" customFormat="1">
      <c r="A2" s="767" t="s">
        <v>33</v>
      </c>
      <c r="B2" s="767"/>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767"/>
      <c r="AL2" s="767"/>
      <c r="AM2" s="767"/>
      <c r="AN2" s="767"/>
      <c r="AO2" s="767"/>
      <c r="AP2" s="767"/>
      <c r="AQ2" s="767"/>
      <c r="AR2" s="767"/>
      <c r="AS2" s="767"/>
      <c r="AT2" s="767"/>
      <c r="AU2" s="767"/>
      <c r="AV2" s="767"/>
      <c r="AW2" s="767"/>
      <c r="AX2" s="767"/>
    </row>
    <row r="3" spans="1:53" ht="21.75">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c r="AI3" s="767"/>
      <c r="AJ3" s="767"/>
      <c r="AK3" s="767"/>
      <c r="AL3" s="767"/>
      <c r="AM3" s="767"/>
      <c r="AN3" s="767"/>
      <c r="AO3" s="767"/>
      <c r="AP3" s="767"/>
      <c r="AQ3" s="767"/>
      <c r="AR3" s="767"/>
      <c r="AS3" s="767"/>
      <c r="AT3" s="767"/>
      <c r="AU3" s="767"/>
      <c r="AV3" s="767"/>
      <c r="AW3" s="767"/>
      <c r="AX3" s="767"/>
      <c r="AY3" s="26"/>
      <c r="AZ3" s="26"/>
      <c r="BA3" s="26"/>
    </row>
    <row r="4" spans="1:53" ht="8.25" customHeight="1">
      <c r="B4" s="28"/>
      <c r="C4" s="28"/>
      <c r="D4" s="29"/>
      <c r="E4" s="29"/>
      <c r="F4" s="29"/>
      <c r="G4" s="29"/>
      <c r="H4" s="29"/>
      <c r="I4" s="29"/>
      <c r="J4" s="29"/>
      <c r="K4" s="29"/>
      <c r="L4" s="29"/>
      <c r="M4" s="29"/>
      <c r="N4" s="29"/>
      <c r="O4" s="29"/>
      <c r="P4" s="29"/>
      <c r="Q4" s="29"/>
      <c r="R4" s="29"/>
      <c r="S4" s="29"/>
      <c r="T4" s="29"/>
      <c r="U4" s="29"/>
      <c r="V4" s="29"/>
      <c r="W4" s="29"/>
      <c r="X4" s="29"/>
      <c r="Y4" s="29"/>
      <c r="Z4" s="30"/>
      <c r="AA4" s="30"/>
      <c r="AB4" s="30"/>
      <c r="AC4" s="30"/>
      <c r="AD4" s="30"/>
      <c r="AE4" s="30"/>
      <c r="AF4" s="30"/>
      <c r="AG4" s="30"/>
      <c r="AH4" s="30"/>
      <c r="AI4" s="30"/>
      <c r="AJ4" s="30"/>
      <c r="AK4" s="29"/>
      <c r="AL4" s="29"/>
      <c r="AM4" s="29"/>
      <c r="AN4" s="29"/>
      <c r="AO4" s="29"/>
      <c r="AP4" s="29"/>
      <c r="AQ4" s="29"/>
      <c r="AR4" s="29"/>
      <c r="AS4" s="29"/>
      <c r="AT4" s="29"/>
      <c r="AU4" s="29"/>
      <c r="AV4" s="29"/>
      <c r="AW4" s="29"/>
    </row>
    <row r="5" spans="1:53" ht="24">
      <c r="A5" s="26"/>
      <c r="B5" s="825" t="s">
        <v>1005</v>
      </c>
      <c r="C5" s="825"/>
      <c r="D5" s="825"/>
      <c r="E5" s="825"/>
      <c r="F5" s="825"/>
      <c r="G5" s="825"/>
      <c r="H5" s="825"/>
      <c r="I5" s="825"/>
      <c r="J5" s="825"/>
      <c r="K5" s="825"/>
      <c r="L5" s="825"/>
      <c r="M5" s="592"/>
      <c r="N5" s="592"/>
      <c r="O5" s="592"/>
      <c r="P5" s="592"/>
      <c r="Q5" s="592"/>
      <c r="R5" s="592"/>
      <c r="S5" s="592"/>
      <c r="T5" s="592"/>
      <c r="U5" s="592"/>
      <c r="V5" s="592"/>
      <c r="W5" s="592"/>
      <c r="X5" s="592"/>
      <c r="Y5" s="593"/>
      <c r="Z5" s="594"/>
      <c r="AA5" s="594"/>
      <c r="AB5" s="594"/>
      <c r="AC5" s="594"/>
      <c r="AD5" s="594"/>
      <c r="AE5" s="594"/>
      <c r="AF5" s="594"/>
      <c r="AG5" s="594"/>
      <c r="AH5" s="594"/>
      <c r="AI5" s="594"/>
      <c r="AJ5" s="594"/>
      <c r="AK5" s="593"/>
      <c r="AL5" s="593"/>
      <c r="AM5" s="593"/>
      <c r="AN5" s="593"/>
      <c r="AO5" s="593"/>
      <c r="AP5" s="593"/>
      <c r="AQ5" s="593"/>
      <c r="AR5" s="593"/>
      <c r="AS5" s="593"/>
      <c r="AT5" s="593"/>
      <c r="AU5" s="593"/>
      <c r="AV5" s="827" t="s">
        <v>629</v>
      </c>
      <c r="AW5" s="827"/>
      <c r="AX5" s="827"/>
      <c r="AY5" s="26"/>
      <c r="AZ5" s="26"/>
      <c r="BA5" s="26"/>
    </row>
    <row r="6" spans="1:53" ht="25.5">
      <c r="B6" s="595"/>
      <c r="C6" s="595"/>
      <c r="D6" s="826" t="s">
        <v>40</v>
      </c>
      <c r="E6" s="826"/>
      <c r="F6" s="826"/>
      <c r="G6" s="826"/>
      <c r="H6" s="826"/>
      <c r="I6" s="826"/>
      <c r="J6" s="826"/>
      <c r="K6" s="826"/>
      <c r="L6" s="826"/>
      <c r="M6" s="826"/>
      <c r="N6" s="826"/>
      <c r="O6" s="826"/>
      <c r="P6" s="826"/>
      <c r="Q6" s="826"/>
      <c r="R6" s="826"/>
      <c r="S6" s="826"/>
      <c r="T6" s="826"/>
      <c r="U6" s="826"/>
      <c r="V6" s="826"/>
      <c r="W6" s="826"/>
      <c r="X6" s="826"/>
      <c r="Y6" s="595"/>
      <c r="Z6" s="826" t="s">
        <v>628</v>
      </c>
      <c r="AA6" s="826"/>
      <c r="AB6" s="826"/>
      <c r="AC6" s="826"/>
      <c r="AD6" s="826"/>
      <c r="AE6" s="826"/>
      <c r="AF6" s="826"/>
      <c r="AG6" s="826"/>
      <c r="AH6" s="826"/>
      <c r="AI6" s="826"/>
      <c r="AJ6" s="826"/>
      <c r="AK6" s="826"/>
      <c r="AL6" s="826"/>
      <c r="AM6" s="596"/>
      <c r="AN6" s="826" t="s">
        <v>529</v>
      </c>
      <c r="AO6" s="826"/>
      <c r="AP6" s="826"/>
      <c r="AQ6" s="826"/>
      <c r="AR6" s="826"/>
      <c r="AS6" s="826"/>
      <c r="AT6" s="826"/>
      <c r="AU6" s="43"/>
      <c r="AV6" s="826" t="s">
        <v>12</v>
      </c>
      <c r="AW6" s="826"/>
      <c r="AX6" s="826"/>
    </row>
    <row r="7" spans="1:53" ht="52.5" customHeight="1">
      <c r="B7" s="824" t="s">
        <v>13</v>
      </c>
      <c r="C7" s="597"/>
      <c r="D7" s="822" t="s">
        <v>14</v>
      </c>
      <c r="E7" s="68"/>
      <c r="F7" s="821" t="s">
        <v>41</v>
      </c>
      <c r="G7" s="821"/>
      <c r="H7" s="821"/>
      <c r="I7" s="821"/>
      <c r="J7" s="821"/>
      <c r="K7" s="821"/>
      <c r="L7" s="821"/>
      <c r="M7" s="68"/>
      <c r="N7" s="822" t="s">
        <v>152</v>
      </c>
      <c r="O7" s="68"/>
      <c r="P7" s="821" t="s">
        <v>75</v>
      </c>
      <c r="Q7" s="821"/>
      <c r="R7" s="821"/>
      <c r="S7" s="821"/>
      <c r="T7" s="821"/>
      <c r="U7" s="821"/>
      <c r="V7" s="821" t="s">
        <v>42</v>
      </c>
      <c r="W7" s="68"/>
      <c r="X7" s="822" t="s">
        <v>15</v>
      </c>
      <c r="Y7" s="68"/>
      <c r="Z7" s="822" t="s">
        <v>14</v>
      </c>
      <c r="AA7" s="598"/>
      <c r="AB7" s="822" t="s">
        <v>528</v>
      </c>
      <c r="AC7" s="68"/>
      <c r="AD7" s="821" t="s">
        <v>75</v>
      </c>
      <c r="AE7" s="821"/>
      <c r="AF7" s="821"/>
      <c r="AG7" s="821"/>
      <c r="AH7" s="821"/>
      <c r="AI7" s="821"/>
      <c r="AJ7" s="821" t="s">
        <v>42</v>
      </c>
      <c r="AK7" s="598"/>
      <c r="AL7" s="822" t="s">
        <v>15</v>
      </c>
      <c r="AM7" s="68"/>
      <c r="AN7" s="822" t="s">
        <v>62</v>
      </c>
      <c r="AO7" s="68"/>
      <c r="AP7" s="822" t="s">
        <v>41</v>
      </c>
      <c r="AQ7" s="68"/>
      <c r="AR7" s="822" t="s">
        <v>170</v>
      </c>
      <c r="AS7" s="68"/>
      <c r="AT7" s="822" t="s">
        <v>63</v>
      </c>
      <c r="AU7" s="598"/>
      <c r="AV7" s="828">
        <f>مفروضات!$C$3</f>
        <v>1402</v>
      </c>
      <c r="AW7" s="598"/>
      <c r="AX7" s="828">
        <f>مفروضات!$C$4</f>
        <v>1401</v>
      </c>
    </row>
    <row r="8" spans="1:53" ht="52.5" customHeight="1">
      <c r="B8" s="824"/>
      <c r="C8" s="597"/>
      <c r="D8" s="823"/>
      <c r="E8" s="68"/>
      <c r="F8" s="599" t="s">
        <v>71</v>
      </c>
      <c r="G8" s="68"/>
      <c r="H8" s="599" t="s">
        <v>72</v>
      </c>
      <c r="I8" s="68"/>
      <c r="J8" s="599" t="s">
        <v>73</v>
      </c>
      <c r="K8" s="68"/>
      <c r="L8" s="599" t="s">
        <v>51</v>
      </c>
      <c r="M8" s="68"/>
      <c r="N8" s="823"/>
      <c r="O8" s="68"/>
      <c r="P8" s="599" t="s">
        <v>42</v>
      </c>
      <c r="Q8" s="68"/>
      <c r="R8" s="599" t="s">
        <v>74</v>
      </c>
      <c r="S8" s="68"/>
      <c r="T8" s="599" t="s">
        <v>73</v>
      </c>
      <c r="U8" s="68"/>
      <c r="V8" s="599" t="s">
        <v>51</v>
      </c>
      <c r="W8" s="68"/>
      <c r="X8" s="823"/>
      <c r="Y8" s="68"/>
      <c r="Z8" s="823"/>
      <c r="AA8" s="598"/>
      <c r="AB8" s="823"/>
      <c r="AC8" s="68"/>
      <c r="AD8" s="599" t="s">
        <v>42</v>
      </c>
      <c r="AE8" s="68"/>
      <c r="AF8" s="599" t="s">
        <v>74</v>
      </c>
      <c r="AG8" s="68"/>
      <c r="AH8" s="599" t="s">
        <v>73</v>
      </c>
      <c r="AI8" s="68"/>
      <c r="AJ8" s="599" t="s">
        <v>51</v>
      </c>
      <c r="AK8" s="598"/>
      <c r="AL8" s="823"/>
      <c r="AM8" s="68"/>
      <c r="AN8" s="823"/>
      <c r="AO8" s="68"/>
      <c r="AP8" s="823"/>
      <c r="AQ8" s="68"/>
      <c r="AR8" s="823"/>
      <c r="AS8" s="68"/>
      <c r="AT8" s="823"/>
      <c r="AU8" s="598"/>
      <c r="AV8" s="829"/>
      <c r="AW8" s="598"/>
      <c r="AX8" s="829"/>
    </row>
    <row r="9" spans="1:53" ht="22.5" customHeight="1">
      <c r="B9" s="54" t="s">
        <v>44</v>
      </c>
      <c r="C9" s="600"/>
      <c r="D9" s="601">
        <v>5892448834</v>
      </c>
      <c r="E9" s="602"/>
      <c r="F9" s="602">
        <v>0</v>
      </c>
      <c r="G9" s="602"/>
      <c r="H9" s="602">
        <v>0</v>
      </c>
      <c r="I9" s="602"/>
      <c r="J9" s="602">
        <v>0</v>
      </c>
      <c r="K9" s="602"/>
      <c r="L9" s="602">
        <v>0</v>
      </c>
      <c r="M9" s="54"/>
      <c r="N9" s="54">
        <v>0</v>
      </c>
      <c r="O9" s="54"/>
      <c r="P9" s="602" t="s">
        <v>455</v>
      </c>
      <c r="Q9" s="54"/>
      <c r="R9" s="602" t="s">
        <v>455</v>
      </c>
      <c r="S9" s="54"/>
      <c r="T9" s="54">
        <v>0</v>
      </c>
      <c r="U9" s="54"/>
      <c r="V9" s="54">
        <v>0</v>
      </c>
      <c r="W9" s="603"/>
      <c r="X9" s="601">
        <f>D9</f>
        <v>5892448834</v>
      </c>
      <c r="Y9" s="603"/>
      <c r="Z9" s="602">
        <v>0</v>
      </c>
      <c r="AA9" s="69"/>
      <c r="AB9" s="54">
        <v>0</v>
      </c>
      <c r="AC9" s="602"/>
      <c r="AD9" s="602" t="s">
        <v>455</v>
      </c>
      <c r="AE9" s="602"/>
      <c r="AF9" s="602" t="s">
        <v>455</v>
      </c>
      <c r="AG9" s="602"/>
      <c r="AH9" s="602">
        <v>0</v>
      </c>
      <c r="AI9" s="69"/>
      <c r="AJ9" s="54">
        <v>0</v>
      </c>
      <c r="AK9" s="603"/>
      <c r="AL9" s="602">
        <v>0</v>
      </c>
      <c r="AM9" s="602"/>
      <c r="AN9" s="602">
        <v>0</v>
      </c>
      <c r="AO9" s="602"/>
      <c r="AP9" s="602">
        <v>0</v>
      </c>
      <c r="AQ9" s="602"/>
      <c r="AR9" s="602" t="s">
        <v>455</v>
      </c>
      <c r="AS9" s="602"/>
      <c r="AT9" s="602">
        <v>0</v>
      </c>
      <c r="AU9" s="603"/>
      <c r="AV9" s="601">
        <f>X9</f>
        <v>5892448834</v>
      </c>
      <c r="AW9" s="603"/>
      <c r="AX9" s="601">
        <f>X9</f>
        <v>5892448834</v>
      </c>
    </row>
    <row r="10" spans="1:53" ht="22.5" hidden="1" customHeight="1">
      <c r="B10" s="604" t="s">
        <v>45</v>
      </c>
      <c r="C10" s="584"/>
      <c r="D10" s="601">
        <v>0</v>
      </c>
      <c r="E10" s="602"/>
      <c r="F10" s="602">
        <v>0</v>
      </c>
      <c r="G10" s="602"/>
      <c r="H10" s="602">
        <v>0</v>
      </c>
      <c r="I10" s="602"/>
      <c r="J10" s="602">
        <v>0</v>
      </c>
      <c r="K10" s="602"/>
      <c r="L10" s="602">
        <v>0</v>
      </c>
      <c r="M10" s="54"/>
      <c r="N10" s="54">
        <v>0</v>
      </c>
      <c r="O10" s="54"/>
      <c r="P10" s="54">
        <v>0</v>
      </c>
      <c r="Q10" s="54"/>
      <c r="R10" s="54">
        <v>0</v>
      </c>
      <c r="S10" s="54"/>
      <c r="T10" s="54">
        <v>0</v>
      </c>
      <c r="U10" s="54"/>
      <c r="V10" s="54">
        <v>0</v>
      </c>
      <c r="W10" s="605"/>
      <c r="X10" s="602">
        <v>0</v>
      </c>
      <c r="Y10" s="603"/>
      <c r="Z10" s="602">
        <v>0</v>
      </c>
      <c r="AA10" s="69"/>
      <c r="AB10" s="54">
        <v>0</v>
      </c>
      <c r="AC10" s="602"/>
      <c r="AD10" s="602">
        <v>0</v>
      </c>
      <c r="AE10" s="602"/>
      <c r="AF10" s="602">
        <v>0</v>
      </c>
      <c r="AG10" s="602"/>
      <c r="AH10" s="602">
        <v>0</v>
      </c>
      <c r="AI10" s="69"/>
      <c r="AJ10" s="54">
        <v>0</v>
      </c>
      <c r="AK10" s="603"/>
      <c r="AL10" s="602">
        <v>0</v>
      </c>
      <c r="AM10" s="602"/>
      <c r="AN10" s="602">
        <v>0</v>
      </c>
      <c r="AO10" s="602"/>
      <c r="AP10" s="602">
        <v>0</v>
      </c>
      <c r="AQ10" s="602"/>
      <c r="AR10" s="602" t="s">
        <v>455</v>
      </c>
      <c r="AS10" s="602"/>
      <c r="AT10" s="602">
        <v>0</v>
      </c>
      <c r="AU10" s="603"/>
      <c r="AV10" s="602">
        <v>0</v>
      </c>
      <c r="AW10" s="603"/>
      <c r="AX10" s="602">
        <v>0</v>
      </c>
    </row>
    <row r="11" spans="1:53" ht="22.5" hidden="1" customHeight="1">
      <c r="B11" s="54" t="s">
        <v>46</v>
      </c>
      <c r="C11" s="600"/>
      <c r="D11" s="601">
        <v>0</v>
      </c>
      <c r="E11" s="602"/>
      <c r="F11" s="602">
        <v>0</v>
      </c>
      <c r="G11" s="602"/>
      <c r="H11" s="602">
        <v>0</v>
      </c>
      <c r="I11" s="602"/>
      <c r="J11" s="602">
        <v>0</v>
      </c>
      <c r="K11" s="602"/>
      <c r="L11" s="602">
        <v>0</v>
      </c>
      <c r="M11" s="54"/>
      <c r="N11" s="54">
        <v>0</v>
      </c>
      <c r="O11" s="54"/>
      <c r="P11" s="54">
        <v>0</v>
      </c>
      <c r="Q11" s="54"/>
      <c r="R11" s="54">
        <v>0</v>
      </c>
      <c r="S11" s="54"/>
      <c r="T11" s="54">
        <v>0</v>
      </c>
      <c r="U11" s="54"/>
      <c r="V11" s="54">
        <v>0</v>
      </c>
      <c r="W11" s="605"/>
      <c r="X11" s="602">
        <v>0</v>
      </c>
      <c r="Y11" s="603"/>
      <c r="Z11" s="602">
        <v>0</v>
      </c>
      <c r="AA11" s="69"/>
      <c r="AB11" s="54">
        <v>0</v>
      </c>
      <c r="AC11" s="602"/>
      <c r="AD11" s="602">
        <v>0</v>
      </c>
      <c r="AE11" s="602"/>
      <c r="AF11" s="602">
        <v>0</v>
      </c>
      <c r="AG11" s="602"/>
      <c r="AH11" s="602">
        <v>0</v>
      </c>
      <c r="AI11" s="69"/>
      <c r="AJ11" s="54">
        <v>0</v>
      </c>
      <c r="AK11" s="603"/>
      <c r="AL11" s="602">
        <v>0</v>
      </c>
      <c r="AM11" s="602"/>
      <c r="AN11" s="602">
        <v>0</v>
      </c>
      <c r="AO11" s="602"/>
      <c r="AP11" s="602">
        <v>0</v>
      </c>
      <c r="AQ11" s="602"/>
      <c r="AR11" s="602">
        <v>0</v>
      </c>
      <c r="AS11" s="602"/>
      <c r="AT11" s="602">
        <v>0</v>
      </c>
      <c r="AU11" s="603"/>
      <c r="AV11" s="602">
        <v>0</v>
      </c>
      <c r="AW11" s="603"/>
      <c r="AX11" s="602">
        <v>0</v>
      </c>
    </row>
    <row r="12" spans="1:53" ht="22.5" hidden="1" customHeight="1">
      <c r="B12" s="54" t="s">
        <v>47</v>
      </c>
      <c r="C12" s="600"/>
      <c r="D12" s="601">
        <v>0</v>
      </c>
      <c r="E12" s="602"/>
      <c r="F12" s="602">
        <v>0</v>
      </c>
      <c r="G12" s="602"/>
      <c r="H12" s="602">
        <v>0</v>
      </c>
      <c r="I12" s="602"/>
      <c r="J12" s="602">
        <v>0</v>
      </c>
      <c r="K12" s="602"/>
      <c r="L12" s="602">
        <v>0</v>
      </c>
      <c r="M12" s="54"/>
      <c r="N12" s="54">
        <v>0</v>
      </c>
      <c r="O12" s="54"/>
      <c r="P12" s="54">
        <v>0</v>
      </c>
      <c r="Q12" s="54"/>
      <c r="R12" s="54" t="s">
        <v>455</v>
      </c>
      <c r="S12" s="54"/>
      <c r="T12" s="54">
        <v>0</v>
      </c>
      <c r="U12" s="54"/>
      <c r="V12" s="54">
        <v>0</v>
      </c>
      <c r="W12" s="605"/>
      <c r="X12" s="602">
        <v>0</v>
      </c>
      <c r="Y12" s="603"/>
      <c r="Z12" s="602">
        <v>0</v>
      </c>
      <c r="AA12" s="69"/>
      <c r="AB12" s="54">
        <v>0</v>
      </c>
      <c r="AC12" s="602"/>
      <c r="AD12" s="602">
        <v>0</v>
      </c>
      <c r="AE12" s="602"/>
      <c r="AF12" s="54" t="s">
        <v>455</v>
      </c>
      <c r="AG12" s="602"/>
      <c r="AH12" s="602">
        <v>0</v>
      </c>
      <c r="AI12" s="69"/>
      <c r="AJ12" s="54">
        <v>0</v>
      </c>
      <c r="AK12" s="603"/>
      <c r="AL12" s="602">
        <v>0</v>
      </c>
      <c r="AM12" s="602"/>
      <c r="AN12" s="602">
        <v>0</v>
      </c>
      <c r="AO12" s="602"/>
      <c r="AP12" s="602">
        <v>0</v>
      </c>
      <c r="AQ12" s="602"/>
      <c r="AR12" s="602">
        <v>0</v>
      </c>
      <c r="AS12" s="602"/>
      <c r="AT12" s="602">
        <v>0</v>
      </c>
      <c r="AU12" s="603"/>
      <c r="AV12" s="602">
        <v>0</v>
      </c>
      <c r="AW12" s="603"/>
      <c r="AX12" s="602">
        <v>0</v>
      </c>
    </row>
    <row r="13" spans="1:53" ht="22.5" customHeight="1">
      <c r="B13" s="54" t="s">
        <v>48</v>
      </c>
      <c r="C13" s="600"/>
      <c r="D13" s="601">
        <v>27813266661</v>
      </c>
      <c r="E13" s="602"/>
      <c r="F13" s="601">
        <v>75916920</v>
      </c>
      <c r="G13" s="602"/>
      <c r="H13" s="606">
        <v>0</v>
      </c>
      <c r="I13" s="602"/>
      <c r="J13" s="606">
        <v>0</v>
      </c>
      <c r="K13" s="602"/>
      <c r="L13" s="601">
        <v>0</v>
      </c>
      <c r="M13" s="54"/>
      <c r="N13" s="54">
        <v>0</v>
      </c>
      <c r="O13" s="54"/>
      <c r="P13" s="54">
        <v>0</v>
      </c>
      <c r="Q13" s="54"/>
      <c r="R13" s="54">
        <v>0</v>
      </c>
      <c r="S13" s="54"/>
      <c r="T13" s="54">
        <v>0</v>
      </c>
      <c r="U13" s="54"/>
      <c r="V13" s="54">
        <v>0</v>
      </c>
      <c r="W13" s="605"/>
      <c r="X13" s="601">
        <f>D13+F13</f>
        <v>27889183581</v>
      </c>
      <c r="Y13" s="603"/>
      <c r="Z13" s="602">
        <v>0</v>
      </c>
      <c r="AA13" s="69"/>
      <c r="AB13" s="54">
        <v>0</v>
      </c>
      <c r="AC13" s="602"/>
      <c r="AD13" s="602">
        <v>0</v>
      </c>
      <c r="AE13" s="602"/>
      <c r="AF13" s="602">
        <v>0</v>
      </c>
      <c r="AG13" s="602"/>
      <c r="AH13" s="602">
        <v>0</v>
      </c>
      <c r="AI13" s="69"/>
      <c r="AJ13" s="54">
        <v>0</v>
      </c>
      <c r="AK13" s="603"/>
      <c r="AL13" s="602">
        <v>0</v>
      </c>
      <c r="AM13" s="602"/>
      <c r="AN13" s="602">
        <v>0</v>
      </c>
      <c r="AO13" s="602"/>
      <c r="AP13" s="602">
        <v>0</v>
      </c>
      <c r="AQ13" s="602"/>
      <c r="AR13" s="602">
        <v>0</v>
      </c>
      <c r="AS13" s="602"/>
      <c r="AT13" s="602">
        <v>0</v>
      </c>
      <c r="AU13" s="603"/>
      <c r="AV13" s="601">
        <f>X13</f>
        <v>27889183581</v>
      </c>
      <c r="AW13" s="603"/>
      <c r="AX13" s="601">
        <f>D13</f>
        <v>27813266661</v>
      </c>
    </row>
    <row r="14" spans="1:53" ht="22.5" hidden="1" customHeight="1">
      <c r="B14" s="604" t="s">
        <v>49</v>
      </c>
      <c r="C14" s="584"/>
      <c r="D14" s="601">
        <v>0</v>
      </c>
      <c r="E14" s="602"/>
      <c r="F14" s="607">
        <v>0</v>
      </c>
      <c r="G14" s="602"/>
      <c r="H14" s="607">
        <v>0</v>
      </c>
      <c r="I14" s="602"/>
      <c r="J14" s="607">
        <v>0</v>
      </c>
      <c r="K14" s="602"/>
      <c r="L14" s="602">
        <v>0</v>
      </c>
      <c r="M14" s="54"/>
      <c r="N14" s="608">
        <v>0</v>
      </c>
      <c r="O14" s="54"/>
      <c r="P14" s="608">
        <v>0</v>
      </c>
      <c r="Q14" s="54"/>
      <c r="R14" s="608">
        <v>0</v>
      </c>
      <c r="S14" s="54"/>
      <c r="T14" s="608">
        <v>0</v>
      </c>
      <c r="U14" s="54"/>
      <c r="V14" s="607" t="s">
        <v>455</v>
      </c>
      <c r="W14" s="605"/>
      <c r="X14" s="602">
        <v>0</v>
      </c>
      <c r="Y14" s="603"/>
      <c r="Z14" s="602">
        <v>0</v>
      </c>
      <c r="AA14" s="69"/>
      <c r="AB14" s="54">
        <v>0</v>
      </c>
      <c r="AC14" s="602"/>
      <c r="AD14" s="607">
        <v>0</v>
      </c>
      <c r="AE14" s="602"/>
      <c r="AF14" s="607">
        <v>0</v>
      </c>
      <c r="AG14" s="602"/>
      <c r="AH14" s="607">
        <v>0</v>
      </c>
      <c r="AI14" s="69"/>
      <c r="AJ14" s="607" t="s">
        <v>455</v>
      </c>
      <c r="AK14" s="603"/>
      <c r="AL14" s="602">
        <v>0</v>
      </c>
      <c r="AM14" s="602"/>
      <c r="AN14" s="607">
        <v>0</v>
      </c>
      <c r="AO14" s="602"/>
      <c r="AP14" s="607">
        <v>0</v>
      </c>
      <c r="AQ14" s="602"/>
      <c r="AR14" s="607" t="s">
        <v>455</v>
      </c>
      <c r="AS14" s="602"/>
      <c r="AT14" s="607">
        <v>0</v>
      </c>
      <c r="AU14" s="603"/>
      <c r="AV14" s="602">
        <v>0</v>
      </c>
      <c r="AW14" s="603"/>
      <c r="AX14" s="602">
        <v>0</v>
      </c>
    </row>
    <row r="15" spans="1:53" ht="22.5" customHeight="1">
      <c r="B15" s="609"/>
      <c r="C15" s="609"/>
      <c r="D15" s="610">
        <f>SUM(D9:D14)</f>
        <v>33705715495</v>
      </c>
      <c r="E15" s="602"/>
      <c r="F15" s="610">
        <f>SUM(F9:F14)</f>
        <v>75916920</v>
      </c>
      <c r="G15" s="602"/>
      <c r="H15" s="602">
        <f>SUM(H9:H14)</f>
        <v>0</v>
      </c>
      <c r="I15" s="602"/>
      <c r="J15" s="602">
        <f>SUM(J9:J14)</f>
        <v>0</v>
      </c>
      <c r="K15" s="602"/>
      <c r="L15" s="611">
        <f>SUM(L9:L14)</f>
        <v>0</v>
      </c>
      <c r="M15" s="54"/>
      <c r="N15" s="54">
        <f>SUM(N9:N14)</f>
        <v>0</v>
      </c>
      <c r="O15" s="54"/>
      <c r="P15" s="611">
        <f>SUM(P9:P14)</f>
        <v>0</v>
      </c>
      <c r="Q15" s="54"/>
      <c r="R15" s="611">
        <f>SUM(R9:R14)</f>
        <v>0</v>
      </c>
      <c r="S15" s="54"/>
      <c r="T15" s="54">
        <f>SUM(T9:T14)</f>
        <v>0</v>
      </c>
      <c r="U15" s="54"/>
      <c r="V15" s="611">
        <f>SUM(V9:V14)</f>
        <v>0</v>
      </c>
      <c r="W15" s="605"/>
      <c r="X15" s="610">
        <f>SUM(X9:X14)</f>
        <v>33781632415</v>
      </c>
      <c r="Y15" s="603"/>
      <c r="Z15" s="611">
        <f>SUM(Z9:Z14)</f>
        <v>0</v>
      </c>
      <c r="AA15" s="69"/>
      <c r="AB15" s="611">
        <f>SUM(AB9:AB14)</f>
        <v>0</v>
      </c>
      <c r="AC15" s="602"/>
      <c r="AD15" s="611">
        <f>SUM(AD9:AD14)</f>
        <v>0</v>
      </c>
      <c r="AE15" s="54"/>
      <c r="AF15" s="611">
        <f>SUM(AF9:AF14)</f>
        <v>0</v>
      </c>
      <c r="AG15" s="602"/>
      <c r="AH15" s="602">
        <f>SUM(AH9:AH14)</f>
        <v>0</v>
      </c>
      <c r="AI15" s="69"/>
      <c r="AJ15" s="611">
        <f>SUM(AJ9:AJ14)</f>
        <v>0</v>
      </c>
      <c r="AK15" s="603"/>
      <c r="AL15" s="611">
        <f>SUM(AL9:AL14)</f>
        <v>0</v>
      </c>
      <c r="AM15" s="602"/>
      <c r="AN15" s="602">
        <f>SUM(AN9:AN14)</f>
        <v>0</v>
      </c>
      <c r="AO15" s="602"/>
      <c r="AP15" s="602">
        <f>SUM(AP9:AP14)</f>
        <v>0</v>
      </c>
      <c r="AQ15" s="602"/>
      <c r="AR15" s="602">
        <f>SUM(AR9:AR14)</f>
        <v>0</v>
      </c>
      <c r="AS15" s="602"/>
      <c r="AT15" s="602">
        <f>SUM(AT9:AT14)</f>
        <v>0</v>
      </c>
      <c r="AU15" s="603"/>
      <c r="AV15" s="610">
        <f>SUM(AV9:AV14)</f>
        <v>33781632415</v>
      </c>
      <c r="AW15" s="603"/>
      <c r="AX15" s="610">
        <f>SUM(AX9:AX14)</f>
        <v>33705715495</v>
      </c>
    </row>
    <row r="16" spans="1:53" ht="22.5" customHeight="1">
      <c r="B16" s="604" t="s">
        <v>50</v>
      </c>
      <c r="C16" s="584"/>
      <c r="D16" s="602">
        <v>0</v>
      </c>
      <c r="E16" s="602"/>
      <c r="F16" s="602">
        <v>0</v>
      </c>
      <c r="G16" s="602"/>
      <c r="H16" s="602">
        <v>0</v>
      </c>
      <c r="I16" s="602"/>
      <c r="J16" s="602">
        <v>0</v>
      </c>
      <c r="K16" s="602"/>
      <c r="L16" s="602">
        <v>0</v>
      </c>
      <c r="M16" s="54"/>
      <c r="N16" s="54">
        <v>0</v>
      </c>
      <c r="O16" s="54"/>
      <c r="P16" s="54">
        <v>0</v>
      </c>
      <c r="Q16" s="54"/>
      <c r="R16" s="54">
        <v>0</v>
      </c>
      <c r="S16" s="54"/>
      <c r="T16" s="54">
        <v>0</v>
      </c>
      <c r="U16" s="54"/>
      <c r="V16" s="602">
        <v>0</v>
      </c>
      <c r="W16" s="605"/>
      <c r="X16" s="602">
        <v>0</v>
      </c>
      <c r="Y16" s="603"/>
      <c r="Z16" s="831"/>
      <c r="AA16" s="832"/>
      <c r="AB16" s="832"/>
      <c r="AC16" s="832"/>
      <c r="AD16" s="832"/>
      <c r="AE16" s="832"/>
      <c r="AF16" s="832"/>
      <c r="AG16" s="832"/>
      <c r="AH16" s="832"/>
      <c r="AI16" s="832"/>
      <c r="AJ16" s="832"/>
      <c r="AK16" s="832"/>
      <c r="AL16" s="832"/>
      <c r="AM16" s="832"/>
      <c r="AN16" s="832"/>
      <c r="AO16" s="832"/>
      <c r="AP16" s="832"/>
      <c r="AQ16" s="832"/>
      <c r="AR16" s="832"/>
      <c r="AS16" s="832"/>
      <c r="AT16" s="833"/>
      <c r="AU16" s="603"/>
      <c r="AV16" s="602">
        <v>0</v>
      </c>
      <c r="AW16" s="603"/>
      <c r="AX16" s="602">
        <v>0</v>
      </c>
    </row>
    <row r="17" spans="1:50" ht="22.5" customHeight="1">
      <c r="B17" s="604" t="s">
        <v>491</v>
      </c>
      <c r="C17" s="584"/>
      <c r="D17" s="602">
        <v>0</v>
      </c>
      <c r="E17" s="602"/>
      <c r="F17" s="607">
        <v>0</v>
      </c>
      <c r="G17" s="602"/>
      <c r="H17" s="607">
        <v>0</v>
      </c>
      <c r="I17" s="602"/>
      <c r="J17" s="607">
        <v>0</v>
      </c>
      <c r="K17" s="602"/>
      <c r="L17" s="602">
        <v>0</v>
      </c>
      <c r="M17" s="54"/>
      <c r="N17" s="608">
        <v>0</v>
      </c>
      <c r="O17" s="54"/>
      <c r="P17" s="608">
        <v>0</v>
      </c>
      <c r="Q17" s="54"/>
      <c r="R17" s="608">
        <v>0</v>
      </c>
      <c r="S17" s="54"/>
      <c r="T17" s="608">
        <v>0</v>
      </c>
      <c r="U17" s="54"/>
      <c r="V17" s="602">
        <v>0</v>
      </c>
      <c r="W17" s="605"/>
      <c r="X17" s="602">
        <v>0</v>
      </c>
      <c r="Y17" s="603"/>
      <c r="Z17" s="834"/>
      <c r="AA17" s="835"/>
      <c r="AB17" s="835"/>
      <c r="AC17" s="835"/>
      <c r="AD17" s="835"/>
      <c r="AE17" s="835"/>
      <c r="AF17" s="835"/>
      <c r="AG17" s="835"/>
      <c r="AH17" s="835"/>
      <c r="AI17" s="835"/>
      <c r="AJ17" s="835"/>
      <c r="AK17" s="835"/>
      <c r="AL17" s="835"/>
      <c r="AM17" s="835"/>
      <c r="AN17" s="835"/>
      <c r="AO17" s="835"/>
      <c r="AP17" s="835"/>
      <c r="AQ17" s="835"/>
      <c r="AR17" s="835"/>
      <c r="AS17" s="835"/>
      <c r="AT17" s="836"/>
      <c r="AU17" s="603"/>
      <c r="AV17" s="602">
        <v>0</v>
      </c>
      <c r="AW17" s="603"/>
      <c r="AX17" s="602">
        <v>0</v>
      </c>
    </row>
    <row r="18" spans="1:50" s="310" customFormat="1" ht="22.5" customHeight="1" thickBot="1">
      <c r="B18" s="612"/>
      <c r="C18" s="612"/>
      <c r="D18" s="613">
        <f>SUM(D15:D17)</f>
        <v>33705715495</v>
      </c>
      <c r="E18" s="601"/>
      <c r="F18" s="613">
        <f>SUM(F15:F17)</f>
        <v>75916920</v>
      </c>
      <c r="G18" s="601"/>
      <c r="H18" s="613">
        <f>SUM(H15:H17)</f>
        <v>0</v>
      </c>
      <c r="I18" s="601"/>
      <c r="J18" s="613">
        <f>SUM(J15:J17)</f>
        <v>0</v>
      </c>
      <c r="K18" s="601"/>
      <c r="L18" s="613">
        <f>SUM(L15:L17)</f>
        <v>0</v>
      </c>
      <c r="M18" s="601"/>
      <c r="N18" s="613">
        <f>SUM(N15:N17)</f>
        <v>0</v>
      </c>
      <c r="O18" s="601"/>
      <c r="P18" s="613">
        <f>SUM(P15:P17)</f>
        <v>0</v>
      </c>
      <c r="Q18" s="601"/>
      <c r="R18" s="613">
        <f>SUM(R15:R17)</f>
        <v>0</v>
      </c>
      <c r="S18" s="601"/>
      <c r="T18" s="613">
        <f>SUM(T15:T17)</f>
        <v>0</v>
      </c>
      <c r="U18" s="601"/>
      <c r="V18" s="613">
        <f>SUM(V15:V17)</f>
        <v>0</v>
      </c>
      <c r="W18" s="614"/>
      <c r="X18" s="613">
        <f>SUM(X15:X17)</f>
        <v>33781632415</v>
      </c>
      <c r="Y18" s="614"/>
      <c r="Z18" s="615">
        <f>SUM(Z15)</f>
        <v>0</v>
      </c>
      <c r="AA18" s="313"/>
      <c r="AB18" s="615">
        <f>SUM(AB15)</f>
        <v>0</v>
      </c>
      <c r="AC18" s="601"/>
      <c r="AD18" s="615">
        <f>SUM(AD15)</f>
        <v>0</v>
      </c>
      <c r="AE18" s="601"/>
      <c r="AF18" s="615">
        <f>SUM(AF15)</f>
        <v>0</v>
      </c>
      <c r="AG18" s="601"/>
      <c r="AH18" s="615">
        <f>SUM(AH15)</f>
        <v>0</v>
      </c>
      <c r="AI18" s="313"/>
      <c r="AJ18" s="615">
        <f>SUM(AJ15)</f>
        <v>0</v>
      </c>
      <c r="AK18" s="614"/>
      <c r="AL18" s="615">
        <f>SUM(AL15)</f>
        <v>0</v>
      </c>
      <c r="AM18" s="601"/>
      <c r="AN18" s="615">
        <f>SUM(AN15)</f>
        <v>0</v>
      </c>
      <c r="AO18" s="601"/>
      <c r="AP18" s="615">
        <f>SUM(AP15)</f>
        <v>0</v>
      </c>
      <c r="AQ18" s="601"/>
      <c r="AR18" s="615">
        <f>SUM(AR15)</f>
        <v>0</v>
      </c>
      <c r="AS18" s="601"/>
      <c r="AT18" s="615">
        <f>SUM(AT15)</f>
        <v>0</v>
      </c>
      <c r="AU18" s="614"/>
      <c r="AV18" s="613">
        <f>SUM(AV15:AV17)</f>
        <v>33781632415</v>
      </c>
      <c r="AW18" s="614"/>
      <c r="AX18" s="613">
        <f>SUM(AX15:AX17)</f>
        <v>33705715495</v>
      </c>
    </row>
    <row r="19" spans="1:50" s="310" customFormat="1" ht="22.5" customHeight="1" thickTop="1">
      <c r="B19" s="616"/>
      <c r="C19" s="616"/>
      <c r="D19" s="616"/>
      <c r="E19" s="616"/>
      <c r="F19" s="616"/>
      <c r="G19" s="616"/>
      <c r="H19" s="616"/>
      <c r="I19" s="616"/>
      <c r="J19" s="616"/>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row>
    <row r="20" spans="1:50" s="47" customFormat="1" ht="72" customHeight="1">
      <c r="A20" s="48"/>
      <c r="B20" s="830" t="s">
        <v>1006</v>
      </c>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830"/>
      <c r="AI20" s="830"/>
      <c r="AJ20" s="830"/>
      <c r="AK20" s="830"/>
      <c r="AL20" s="830"/>
      <c r="AM20" s="830"/>
      <c r="AN20" s="830"/>
      <c r="AO20" s="830"/>
      <c r="AP20" s="830"/>
      <c r="AQ20" s="830"/>
      <c r="AR20" s="830"/>
      <c r="AS20" s="830"/>
      <c r="AT20" s="830"/>
      <c r="AU20" s="830"/>
      <c r="AV20" s="830"/>
      <c r="AW20" s="830"/>
      <c r="AX20" s="830"/>
    </row>
    <row r="21" spans="1:50" ht="24.75">
      <c r="B21" s="609"/>
      <c r="C21" s="609"/>
      <c r="D21" s="43"/>
      <c r="E21" s="43"/>
      <c r="F21" s="43"/>
      <c r="G21" s="43"/>
      <c r="H21" s="43"/>
      <c r="I21" s="43"/>
      <c r="J21" s="43"/>
      <c r="K21" s="43"/>
      <c r="L21" s="603"/>
      <c r="M21" s="603"/>
      <c r="N21" s="603"/>
      <c r="O21" s="603"/>
      <c r="P21" s="603"/>
      <c r="Q21" s="603"/>
      <c r="R21" s="603"/>
      <c r="S21" s="603"/>
      <c r="T21" s="603"/>
      <c r="U21" s="603"/>
      <c r="V21" s="603"/>
      <c r="W21" s="603"/>
      <c r="X21" s="603"/>
      <c r="Y21" s="43"/>
      <c r="Z21" s="69"/>
      <c r="AA21" s="69"/>
      <c r="AB21" s="69"/>
      <c r="AC21" s="69"/>
      <c r="AD21" s="69"/>
      <c r="AE21" s="69"/>
      <c r="AF21" s="69"/>
      <c r="AG21" s="69"/>
      <c r="AH21" s="69"/>
      <c r="AI21" s="69"/>
      <c r="AJ21" s="69"/>
      <c r="AK21" s="43"/>
      <c r="AL21" s="43"/>
      <c r="AM21" s="43"/>
      <c r="AN21" s="43"/>
      <c r="AO21" s="43"/>
      <c r="AP21" s="43"/>
      <c r="AQ21" s="43"/>
      <c r="AR21" s="43"/>
      <c r="AS21" s="43"/>
      <c r="AT21" s="43"/>
      <c r="AU21" s="43"/>
      <c r="AV21" s="43"/>
      <c r="AW21" s="43"/>
      <c r="AX21" s="43"/>
    </row>
    <row r="22" spans="1:50">
      <c r="B22" s="813"/>
      <c r="C22" s="813"/>
      <c r="D22" s="813"/>
      <c r="E22" s="813"/>
      <c r="F22" s="813"/>
      <c r="G22" s="813"/>
      <c r="H22" s="813"/>
      <c r="I22" s="813"/>
      <c r="J22" s="813"/>
      <c r="K22" s="813"/>
      <c r="L22" s="813"/>
      <c r="M22" s="813"/>
      <c r="N22" s="813"/>
      <c r="O22" s="813"/>
      <c r="P22" s="813"/>
      <c r="Q22" s="813"/>
      <c r="R22" s="813"/>
      <c r="S22" s="813"/>
      <c r="T22" s="813"/>
      <c r="U22" s="813"/>
      <c r="V22" s="813"/>
      <c r="W22" s="813"/>
      <c r="X22" s="813"/>
      <c r="Y22" s="813"/>
      <c r="Z22" s="813"/>
      <c r="AA22" s="813"/>
      <c r="AB22" s="813"/>
      <c r="AC22" s="813"/>
      <c r="AD22" s="813"/>
      <c r="AE22" s="813"/>
      <c r="AF22" s="813"/>
      <c r="AG22" s="813"/>
      <c r="AH22" s="813"/>
      <c r="AI22" s="813"/>
      <c r="AJ22" s="813"/>
      <c r="AK22" s="813"/>
      <c r="AL22" s="813"/>
      <c r="AM22" s="813"/>
      <c r="AN22" s="813"/>
      <c r="AO22" s="813"/>
      <c r="AP22" s="813"/>
      <c r="AQ22" s="813"/>
      <c r="AR22" s="813"/>
      <c r="AS22" s="813"/>
      <c r="AT22" s="813"/>
      <c r="AU22" s="813"/>
      <c r="AV22" s="813"/>
      <c r="AW22" s="813"/>
      <c r="AX22" s="813"/>
    </row>
  </sheetData>
  <mergeCells count="28">
    <mergeCell ref="B22:AX22"/>
    <mergeCell ref="P7:V7"/>
    <mergeCell ref="AV7:AV8"/>
    <mergeCell ref="X7:X8"/>
    <mergeCell ref="B20:AX20"/>
    <mergeCell ref="D7:D8"/>
    <mergeCell ref="Z16:AT17"/>
    <mergeCell ref="AN7:AN8"/>
    <mergeCell ref="AP7:AP8"/>
    <mergeCell ref="AR7:AR8"/>
    <mergeCell ref="AT7:AT8"/>
    <mergeCell ref="Z7:Z8"/>
    <mergeCell ref="AB7:AB8"/>
    <mergeCell ref="AD7:AJ7"/>
    <mergeCell ref="AL7:AL8"/>
    <mergeCell ref="AX7:AX8"/>
    <mergeCell ref="F7:L7"/>
    <mergeCell ref="N7:N8"/>
    <mergeCell ref="B7:B8"/>
    <mergeCell ref="A1:AX1"/>
    <mergeCell ref="A2:AX2"/>
    <mergeCell ref="A3:AX3"/>
    <mergeCell ref="B5:L5"/>
    <mergeCell ref="D6:X6"/>
    <mergeCell ref="Z6:AL6"/>
    <mergeCell ref="AV6:AX6"/>
    <mergeCell ref="AV5:AX5"/>
    <mergeCell ref="AN6:AT6"/>
  </mergeCells>
  <printOptions horizontalCentered="1"/>
  <pageMargins left="0.55118110236220474" right="0.70866141732283472" top="0.47244094488188981" bottom="0.74803149606299213" header="0.31496062992125984" footer="0.31496062992125984"/>
  <pageSetup paperSize="9" scale="48" firstPageNumber="21" orientation="portrait" useFirstPageNumber="1" r:id="rId1"/>
  <headerFooter>
    <oddFooter>&amp;C&amp;"B Nazanin,Regular"&amp;16&amp;P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9"/>
  <sheetViews>
    <sheetView rightToLeft="1" view="pageLayout" topLeftCell="B10" zoomScaleNormal="100" zoomScaleSheetLayoutView="100" workbookViewId="0">
      <selection activeCell="W17" sqref="W17"/>
    </sheetView>
  </sheetViews>
  <sheetFormatPr defaultColWidth="9" defaultRowHeight="21"/>
  <cols>
    <col min="1" max="1" width="0.5703125" style="1" customWidth="1"/>
    <col min="2" max="2" width="26.42578125" style="35" customWidth="1"/>
    <col min="3" max="3" width="0.42578125" style="35" customWidth="1"/>
    <col min="4" max="4" width="8.42578125" style="1" customWidth="1"/>
    <col min="5" max="5" width="0.42578125" style="1" customWidth="1"/>
    <col min="6" max="6" width="8.42578125" style="1" customWidth="1"/>
    <col min="7" max="7" width="0.140625" style="1" customWidth="1"/>
    <col min="8" max="8" width="8.42578125" style="1" hidden="1" customWidth="1"/>
    <col min="9" max="9" width="0.42578125" style="1" customWidth="1"/>
    <col min="10" max="10" width="8.42578125" style="334" customWidth="1"/>
    <col min="11" max="11" width="0.42578125" style="1" customWidth="1"/>
    <col min="12" max="12" width="8.42578125" style="31" customWidth="1"/>
    <col min="13" max="14" width="0.42578125" style="31" customWidth="1"/>
    <col min="15" max="15" width="8.42578125" style="31" customWidth="1"/>
    <col min="16" max="16" width="0.5703125" style="31" customWidth="1"/>
    <col min="17" max="17" width="8.42578125" style="31" hidden="1" customWidth="1"/>
    <col min="18" max="18" width="0.5703125" style="31" hidden="1" customWidth="1"/>
    <col min="19" max="19" width="9.140625" style="31" hidden="1" customWidth="1"/>
    <col min="20" max="20" width="0.5703125" style="31" hidden="1" customWidth="1"/>
    <col min="21" max="21" width="8.42578125" style="31" hidden="1" customWidth="1"/>
    <col min="22" max="22" width="0.5703125" style="31" customWidth="1"/>
    <col min="23" max="23" width="11.28515625" style="329" customWidth="1"/>
    <col min="24" max="24" width="0.7109375" style="1" customWidth="1"/>
    <col min="25" max="25" width="14.85546875" style="2" customWidth="1"/>
    <col min="26" max="26" width="0.42578125" style="2" customWidth="1"/>
    <col min="27" max="27" width="12.28515625" style="2" customWidth="1"/>
    <col min="28" max="28" width="0.42578125" style="2" customWidth="1"/>
    <col min="29" max="29" width="8.42578125" style="2" customWidth="1"/>
    <col min="30" max="30" width="0.5703125" style="2" customWidth="1"/>
    <col min="31" max="31" width="8.42578125" style="2" hidden="1" customWidth="1"/>
    <col min="32" max="32" width="0.5703125" style="2" hidden="1" customWidth="1"/>
    <col min="33" max="33" width="9.42578125" style="2" hidden="1" customWidth="1"/>
    <col min="34" max="34" width="0.5703125" style="2" hidden="1" customWidth="1"/>
    <col min="35" max="35" width="8.42578125" style="2" hidden="1" customWidth="1"/>
    <col min="36" max="36" width="0.7109375" style="1" customWidth="1"/>
    <col min="37" max="37" width="12.42578125" style="1" customWidth="1"/>
    <col min="38" max="38" width="0.42578125" style="1" customWidth="1"/>
    <col min="39" max="39" width="8.42578125" style="1" hidden="1" customWidth="1"/>
    <col min="40" max="40" width="0.5703125" style="1" hidden="1" customWidth="1"/>
    <col min="41" max="41" width="8.42578125" style="1" hidden="1" customWidth="1"/>
    <col min="42" max="42" width="0.42578125" style="1" hidden="1" customWidth="1"/>
    <col min="43" max="43" width="8.42578125" style="1" hidden="1" customWidth="1"/>
    <col min="44" max="44" width="0.5703125" style="1" hidden="1" customWidth="1"/>
    <col min="45" max="45" width="8.42578125" style="1" hidden="1" customWidth="1"/>
    <col min="46" max="46" width="0.42578125" style="1" customWidth="1"/>
    <col min="47" max="47" width="8.42578125" style="1" customWidth="1"/>
    <col min="48" max="48" width="0.42578125" style="1" customWidth="1"/>
    <col min="49" max="49" width="11.5703125" style="1" customWidth="1"/>
    <col min="50" max="50" width="28.140625" style="1" customWidth="1"/>
    <col min="51" max="51" width="17.140625" style="1" customWidth="1"/>
    <col min="52" max="16384" width="9" style="1"/>
  </cols>
  <sheetData>
    <row r="1" spans="1:52" ht="21.75">
      <c r="A1" s="838" t="str">
        <f>[4]مفروضات!$C$1</f>
        <v>دانشگاه علوم پزشکی و خدمات بهداشتی درمانی سمنان</v>
      </c>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c r="AH1" s="838"/>
      <c r="AI1" s="838"/>
      <c r="AJ1" s="838"/>
      <c r="AK1" s="838"/>
      <c r="AL1" s="838"/>
      <c r="AM1" s="838"/>
      <c r="AN1" s="838"/>
      <c r="AO1" s="838"/>
      <c r="AP1" s="838"/>
      <c r="AQ1" s="838"/>
      <c r="AR1" s="838"/>
      <c r="AS1" s="838"/>
      <c r="AT1" s="838"/>
      <c r="AU1" s="838"/>
      <c r="AV1" s="838"/>
      <c r="AW1" s="838"/>
      <c r="AX1" s="25"/>
      <c r="AY1" s="25"/>
      <c r="AZ1" s="25"/>
    </row>
    <row r="2" spans="1:52" s="26" customFormat="1">
      <c r="A2" s="839" t="s">
        <v>33</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839"/>
      <c r="AK2" s="839"/>
      <c r="AL2" s="839"/>
      <c r="AM2" s="839"/>
      <c r="AN2" s="839"/>
      <c r="AO2" s="839"/>
      <c r="AP2" s="839"/>
      <c r="AQ2" s="839"/>
      <c r="AR2" s="839"/>
      <c r="AS2" s="839"/>
      <c r="AT2" s="839"/>
      <c r="AU2" s="839"/>
      <c r="AV2" s="839"/>
      <c r="AW2" s="839"/>
    </row>
    <row r="3" spans="1:52" ht="21.75">
      <c r="A3" s="839" t="str">
        <f>[4]مفروضات!$C$7</f>
        <v>سال مالي منتهي به 29 اسفند ماه 1402</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c r="AM3" s="839"/>
      <c r="AN3" s="839"/>
      <c r="AO3" s="839"/>
      <c r="AP3" s="839"/>
      <c r="AQ3" s="839"/>
      <c r="AR3" s="839"/>
      <c r="AS3" s="839"/>
      <c r="AT3" s="839"/>
      <c r="AU3" s="839"/>
      <c r="AV3" s="839"/>
      <c r="AW3" s="839"/>
      <c r="AX3" s="26"/>
      <c r="AY3" s="26"/>
      <c r="AZ3" s="26"/>
    </row>
    <row r="4" spans="1:52" ht="14.25" customHeight="1">
      <c r="A4" s="840"/>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c r="AD4" s="840"/>
      <c r="AE4" s="840"/>
      <c r="AF4" s="840"/>
      <c r="AG4" s="840"/>
      <c r="AH4" s="840"/>
      <c r="AI4" s="840"/>
      <c r="AJ4" s="840"/>
      <c r="AK4" s="840"/>
      <c r="AL4" s="840"/>
      <c r="AM4" s="840"/>
      <c r="AN4" s="840"/>
      <c r="AO4" s="840"/>
      <c r="AP4" s="840"/>
      <c r="AQ4" s="840"/>
      <c r="AR4" s="840"/>
      <c r="AS4" s="840"/>
      <c r="AT4" s="840"/>
      <c r="AU4" s="840"/>
      <c r="AV4" s="840"/>
      <c r="AW4" s="840"/>
    </row>
    <row r="5" spans="1:52" ht="21.75">
      <c r="A5" s="26"/>
      <c r="B5" s="199" t="s">
        <v>1182</v>
      </c>
      <c r="C5" s="82"/>
      <c r="D5" s="287"/>
      <c r="E5" s="287"/>
      <c r="F5" s="74"/>
      <c r="G5" s="74"/>
      <c r="H5" s="74"/>
      <c r="I5" s="74"/>
      <c r="J5" s="328"/>
      <c r="K5" s="74"/>
      <c r="AU5" s="841" t="s">
        <v>294</v>
      </c>
      <c r="AV5" s="841"/>
      <c r="AW5" s="841"/>
      <c r="AX5" s="26"/>
      <c r="AY5" s="26"/>
      <c r="AZ5" s="26"/>
    </row>
    <row r="6" spans="1:52">
      <c r="B6" s="50"/>
      <c r="C6" s="50"/>
      <c r="D6" s="820" t="s">
        <v>40</v>
      </c>
      <c r="E6" s="820"/>
      <c r="F6" s="820"/>
      <c r="G6" s="820"/>
      <c r="H6" s="820"/>
      <c r="I6" s="820"/>
      <c r="J6" s="820"/>
      <c r="K6" s="820"/>
      <c r="L6" s="820"/>
      <c r="M6" s="820"/>
      <c r="N6" s="820"/>
      <c r="O6" s="820"/>
      <c r="P6" s="820"/>
      <c r="Q6" s="820"/>
      <c r="R6" s="820"/>
      <c r="S6" s="820"/>
      <c r="T6" s="820"/>
      <c r="U6" s="820"/>
      <c r="V6" s="820"/>
      <c r="W6" s="820"/>
      <c r="X6" s="35"/>
      <c r="Y6" s="837" t="s">
        <v>628</v>
      </c>
      <c r="Z6" s="837"/>
      <c r="AA6" s="837"/>
      <c r="AB6" s="837"/>
      <c r="AC6" s="837"/>
      <c r="AD6" s="837"/>
      <c r="AE6" s="837"/>
      <c r="AF6" s="837"/>
      <c r="AG6" s="837"/>
      <c r="AH6" s="837"/>
      <c r="AI6" s="837"/>
      <c r="AJ6" s="837"/>
      <c r="AK6" s="837"/>
      <c r="AL6" s="59"/>
      <c r="AM6" s="837" t="s">
        <v>529</v>
      </c>
      <c r="AN6" s="837"/>
      <c r="AO6" s="837"/>
      <c r="AP6" s="837"/>
      <c r="AQ6" s="837"/>
      <c r="AR6" s="837"/>
      <c r="AS6" s="837"/>
      <c r="AU6" s="837" t="s">
        <v>12</v>
      </c>
      <c r="AV6" s="837"/>
      <c r="AW6" s="837"/>
    </row>
    <row r="7" spans="1:52" ht="39" customHeight="1">
      <c r="B7" s="842" t="s">
        <v>13</v>
      </c>
      <c r="C7" s="51"/>
      <c r="D7" s="844" t="s">
        <v>14</v>
      </c>
      <c r="E7" s="58"/>
      <c r="F7" s="846" t="s">
        <v>41</v>
      </c>
      <c r="G7" s="846"/>
      <c r="H7" s="846"/>
      <c r="I7" s="846"/>
      <c r="J7" s="846"/>
      <c r="K7" s="846"/>
      <c r="L7" s="846"/>
      <c r="M7" s="200"/>
      <c r="N7" s="200"/>
      <c r="O7" s="846" t="s">
        <v>75</v>
      </c>
      <c r="P7" s="846"/>
      <c r="Q7" s="846"/>
      <c r="R7" s="846"/>
      <c r="S7" s="846"/>
      <c r="T7" s="846"/>
      <c r="U7" s="846"/>
      <c r="V7" s="58"/>
      <c r="W7" s="847" t="s">
        <v>15</v>
      </c>
      <c r="X7" s="58"/>
      <c r="Y7" s="849" t="s">
        <v>14</v>
      </c>
      <c r="Z7" s="52"/>
      <c r="AA7" s="849" t="s">
        <v>530</v>
      </c>
      <c r="AB7" s="52"/>
      <c r="AC7" s="846" t="s">
        <v>75</v>
      </c>
      <c r="AD7" s="846"/>
      <c r="AE7" s="846"/>
      <c r="AF7" s="846"/>
      <c r="AG7" s="846"/>
      <c r="AH7" s="846"/>
      <c r="AI7" s="846"/>
      <c r="AJ7" s="52"/>
      <c r="AK7" s="849" t="s">
        <v>15</v>
      </c>
      <c r="AL7" s="52"/>
      <c r="AM7" s="849" t="s">
        <v>14</v>
      </c>
      <c r="AN7" s="52"/>
      <c r="AO7" s="849" t="s">
        <v>41</v>
      </c>
      <c r="AP7" s="52"/>
      <c r="AQ7" s="849" t="s">
        <v>170</v>
      </c>
      <c r="AR7" s="52"/>
      <c r="AS7" s="849" t="s">
        <v>15</v>
      </c>
      <c r="AT7" s="52"/>
      <c r="AU7" s="854">
        <f>[4]مفروضات!$C$3</f>
        <v>1402</v>
      </c>
      <c r="AV7" s="52"/>
      <c r="AW7" s="854">
        <f>[4]مفروضات!$C$4</f>
        <v>1401</v>
      </c>
    </row>
    <row r="8" spans="1:52" ht="39">
      <c r="B8" s="843"/>
      <c r="C8" s="51"/>
      <c r="D8" s="845"/>
      <c r="E8" s="58"/>
      <c r="F8" s="64" t="s">
        <v>71</v>
      </c>
      <c r="G8" s="73"/>
      <c r="H8" s="64" t="s">
        <v>884</v>
      </c>
      <c r="I8" s="73"/>
      <c r="J8" s="330" t="s">
        <v>151</v>
      </c>
      <c r="K8" s="73"/>
      <c r="L8" s="64" t="s">
        <v>960</v>
      </c>
      <c r="M8" s="73"/>
      <c r="N8" s="73"/>
      <c r="O8" s="64" t="s">
        <v>42</v>
      </c>
      <c r="P8" s="73"/>
      <c r="Q8" s="64" t="s">
        <v>74</v>
      </c>
      <c r="R8" s="73"/>
      <c r="S8" s="64" t="s">
        <v>314</v>
      </c>
      <c r="T8" s="73"/>
      <c r="U8" s="64" t="s">
        <v>51</v>
      </c>
      <c r="V8" s="58"/>
      <c r="W8" s="848"/>
      <c r="X8" s="58"/>
      <c r="Y8" s="850"/>
      <c r="Z8" s="52"/>
      <c r="AA8" s="850"/>
      <c r="AB8" s="52"/>
      <c r="AC8" s="110" t="s">
        <v>42</v>
      </c>
      <c r="AD8" s="20"/>
      <c r="AE8" s="110" t="s">
        <v>74</v>
      </c>
      <c r="AF8" s="20"/>
      <c r="AG8" s="110" t="s">
        <v>314</v>
      </c>
      <c r="AH8" s="20"/>
      <c r="AI8" s="110" t="s">
        <v>51</v>
      </c>
      <c r="AJ8" s="52"/>
      <c r="AK8" s="850"/>
      <c r="AL8" s="52"/>
      <c r="AM8" s="850"/>
      <c r="AN8" s="52"/>
      <c r="AO8" s="850"/>
      <c r="AP8" s="52"/>
      <c r="AQ8" s="850"/>
      <c r="AR8" s="52"/>
      <c r="AS8" s="850"/>
      <c r="AT8" s="52"/>
      <c r="AU8" s="855"/>
      <c r="AV8" s="52"/>
      <c r="AW8" s="855"/>
    </row>
    <row r="9" spans="1:52" ht="20.25" customHeight="1">
      <c r="B9" s="3" t="s">
        <v>306</v>
      </c>
      <c r="C9" s="44"/>
      <c r="D9" s="443">
        <v>527141088022</v>
      </c>
      <c r="E9" s="443"/>
      <c r="F9" s="443">
        <v>75747150585</v>
      </c>
      <c r="G9" s="443"/>
      <c r="H9" s="443">
        <v>0</v>
      </c>
      <c r="I9" s="443"/>
      <c r="J9" s="443">
        <v>13962149150</v>
      </c>
      <c r="K9" s="443"/>
      <c r="L9" s="443">
        <v>0</v>
      </c>
      <c r="M9" s="443"/>
      <c r="N9" s="443"/>
      <c r="O9" s="443">
        <v>-1851567350</v>
      </c>
      <c r="P9" s="443"/>
      <c r="Q9" s="443" t="s">
        <v>455</v>
      </c>
      <c r="R9" s="443"/>
      <c r="S9" s="443" t="s">
        <v>455</v>
      </c>
      <c r="T9" s="443"/>
      <c r="U9" s="443" t="s">
        <v>455</v>
      </c>
      <c r="V9" s="444"/>
      <c r="W9" s="443">
        <f>D9+F9+H9+J9+L9+O9</f>
        <v>614998820407</v>
      </c>
      <c r="X9" s="443"/>
      <c r="Y9" s="443">
        <v>278448393916</v>
      </c>
      <c r="Z9" s="443"/>
      <c r="AA9" s="443">
        <v>79376631752</v>
      </c>
      <c r="AB9" s="443"/>
      <c r="AC9" s="443">
        <v>-1798106150</v>
      </c>
      <c r="AD9" s="443"/>
      <c r="AE9" s="443" t="s">
        <v>455</v>
      </c>
      <c r="AF9" s="443"/>
      <c r="AG9" s="443" t="s">
        <v>455</v>
      </c>
      <c r="AH9" s="443"/>
      <c r="AI9" s="443" t="s">
        <v>455</v>
      </c>
      <c r="AJ9" s="444"/>
      <c r="AK9" s="443">
        <f t="shared" ref="AK9:AK15" si="0">Y9+AA9+AC9</f>
        <v>356026919518</v>
      </c>
      <c r="AL9" s="443"/>
      <c r="AM9" s="443">
        <v>0</v>
      </c>
      <c r="AN9" s="443"/>
      <c r="AO9" s="443">
        <v>0</v>
      </c>
      <c r="AP9" s="443"/>
      <c r="AQ9" s="443">
        <v>0</v>
      </c>
      <c r="AR9" s="443"/>
      <c r="AS9" s="443">
        <v>0</v>
      </c>
      <c r="AT9" s="443"/>
      <c r="AU9" s="443">
        <f>W9-AK9</f>
        <v>258971900889</v>
      </c>
      <c r="AV9" s="443"/>
      <c r="AW9" s="443">
        <f>D9-Y9</f>
        <v>248692694106</v>
      </c>
    </row>
    <row r="10" spans="1:52" ht="20.25" customHeight="1">
      <c r="B10" s="67" t="s">
        <v>34</v>
      </c>
      <c r="C10" s="55"/>
      <c r="D10" s="443">
        <v>199492191350</v>
      </c>
      <c r="E10" s="443"/>
      <c r="F10" s="443">
        <v>11167736150</v>
      </c>
      <c r="G10" s="443"/>
      <c r="H10" s="443">
        <v>0</v>
      </c>
      <c r="I10" s="443"/>
      <c r="J10" s="443">
        <v>0</v>
      </c>
      <c r="K10" s="443"/>
      <c r="L10" s="443">
        <v>0</v>
      </c>
      <c r="M10" s="443"/>
      <c r="N10" s="443"/>
      <c r="O10" s="443">
        <v>0</v>
      </c>
      <c r="P10" s="443"/>
      <c r="Q10" s="443" t="s">
        <v>455</v>
      </c>
      <c r="R10" s="443"/>
      <c r="S10" s="443" t="s">
        <v>455</v>
      </c>
      <c r="T10" s="443"/>
      <c r="U10" s="443" t="s">
        <v>455</v>
      </c>
      <c r="V10" s="444"/>
      <c r="W10" s="443">
        <f>D10+F10+H10+J10+L10</f>
        <v>210659927500</v>
      </c>
      <c r="X10" s="443"/>
      <c r="Y10" s="443">
        <v>93362511926</v>
      </c>
      <c r="Z10" s="443"/>
      <c r="AA10" s="443">
        <v>24838689483</v>
      </c>
      <c r="AB10" s="443"/>
      <c r="AC10" s="443">
        <v>0</v>
      </c>
      <c r="AD10" s="443"/>
      <c r="AE10" s="443" t="s">
        <v>455</v>
      </c>
      <c r="AF10" s="443"/>
      <c r="AG10" s="443" t="s">
        <v>455</v>
      </c>
      <c r="AH10" s="443"/>
      <c r="AI10" s="443" t="s">
        <v>455</v>
      </c>
      <c r="AJ10" s="444"/>
      <c r="AK10" s="443">
        <f t="shared" si="0"/>
        <v>118201201409</v>
      </c>
      <c r="AL10" s="443"/>
      <c r="AM10" s="443">
        <v>0</v>
      </c>
      <c r="AN10" s="443"/>
      <c r="AO10" s="443">
        <v>0</v>
      </c>
      <c r="AP10" s="443"/>
      <c r="AQ10" s="443">
        <v>0</v>
      </c>
      <c r="AR10" s="443"/>
      <c r="AS10" s="443">
        <v>0</v>
      </c>
      <c r="AT10" s="443"/>
      <c r="AU10" s="443">
        <f t="shared" ref="AU10:AU15" si="1">W10-AK10</f>
        <v>92458726091</v>
      </c>
      <c r="AV10" s="443"/>
      <c r="AW10" s="443">
        <f t="shared" ref="AW10:AW15" si="2">D10-Y10</f>
        <v>106129679424</v>
      </c>
    </row>
    <row r="11" spans="1:52" ht="20.25" customHeight="1">
      <c r="B11" s="3" t="s">
        <v>35</v>
      </c>
      <c r="C11" s="44"/>
      <c r="D11" s="443">
        <v>2052095479375</v>
      </c>
      <c r="E11" s="443"/>
      <c r="F11" s="443">
        <v>116901691799</v>
      </c>
      <c r="G11" s="443"/>
      <c r="H11" s="443">
        <v>0</v>
      </c>
      <c r="I11" s="443"/>
      <c r="J11" s="443">
        <v>180592088306</v>
      </c>
      <c r="K11" s="443"/>
      <c r="L11" s="443">
        <v>0</v>
      </c>
      <c r="M11" s="443"/>
      <c r="N11" s="443"/>
      <c r="O11" s="443">
        <v>-1687200576</v>
      </c>
      <c r="P11" s="443"/>
      <c r="Q11" s="443" t="s">
        <v>455</v>
      </c>
      <c r="R11" s="443"/>
      <c r="S11" s="443" t="s">
        <v>455</v>
      </c>
      <c r="T11" s="443"/>
      <c r="U11" s="443" t="s">
        <v>455</v>
      </c>
      <c r="V11" s="444"/>
      <c r="W11" s="443">
        <f>D11+F11+H11+J11+O11</f>
        <v>2347902058904</v>
      </c>
      <c r="X11" s="443"/>
      <c r="Y11" s="443">
        <v>1052393123196</v>
      </c>
      <c r="Z11" s="443"/>
      <c r="AA11" s="443">
        <v>194967982084</v>
      </c>
      <c r="AB11" s="443"/>
      <c r="AC11" s="443">
        <v>-1686323012</v>
      </c>
      <c r="AD11" s="443"/>
      <c r="AE11" s="443" t="s">
        <v>455</v>
      </c>
      <c r="AF11" s="443"/>
      <c r="AG11" s="443" t="s">
        <v>455</v>
      </c>
      <c r="AH11" s="443"/>
      <c r="AI11" s="443" t="s">
        <v>455</v>
      </c>
      <c r="AJ11" s="444"/>
      <c r="AK11" s="443">
        <f t="shared" si="0"/>
        <v>1245674782268</v>
      </c>
      <c r="AL11" s="443"/>
      <c r="AM11" s="443">
        <v>0</v>
      </c>
      <c r="AN11" s="443"/>
      <c r="AO11" s="443">
        <v>0</v>
      </c>
      <c r="AP11" s="443"/>
      <c r="AQ11" s="443">
        <v>0</v>
      </c>
      <c r="AR11" s="443"/>
      <c r="AS11" s="443">
        <v>0</v>
      </c>
      <c r="AT11" s="443"/>
      <c r="AU11" s="443">
        <f t="shared" si="1"/>
        <v>1102227276636</v>
      </c>
      <c r="AV11" s="443"/>
      <c r="AW11" s="443">
        <f t="shared" si="2"/>
        <v>999702356179</v>
      </c>
    </row>
    <row r="12" spans="1:52" ht="20.25" customHeight="1">
      <c r="B12" s="3" t="s">
        <v>6</v>
      </c>
      <c r="C12" s="44"/>
      <c r="D12" s="443">
        <v>2820129752492</v>
      </c>
      <c r="E12" s="443"/>
      <c r="F12" s="443"/>
      <c r="G12" s="443"/>
      <c r="H12" s="443">
        <v>0</v>
      </c>
      <c r="I12" s="443"/>
      <c r="J12" s="443">
        <v>0</v>
      </c>
      <c r="K12" s="443"/>
      <c r="L12" s="443">
        <v>717349972861</v>
      </c>
      <c r="M12" s="443"/>
      <c r="N12" s="443"/>
      <c r="O12" s="443">
        <v>0</v>
      </c>
      <c r="P12" s="443"/>
      <c r="Q12" s="443" t="s">
        <v>455</v>
      </c>
      <c r="R12" s="443"/>
      <c r="S12" s="443" t="s">
        <v>455</v>
      </c>
      <c r="T12" s="443"/>
      <c r="U12" s="443" t="s">
        <v>455</v>
      </c>
      <c r="V12" s="444"/>
      <c r="W12" s="443">
        <f>D12+F12+H12+J12+L12</f>
        <v>3537479725353</v>
      </c>
      <c r="X12" s="443"/>
      <c r="Y12" s="443">
        <v>720351393130</v>
      </c>
      <c r="Z12" s="443"/>
      <c r="AA12" s="443">
        <v>176896391824</v>
      </c>
      <c r="AB12" s="443"/>
      <c r="AC12" s="443">
        <v>0</v>
      </c>
      <c r="AD12" s="443"/>
      <c r="AE12" s="443" t="s">
        <v>455</v>
      </c>
      <c r="AF12" s="443"/>
      <c r="AG12" s="443" t="s">
        <v>455</v>
      </c>
      <c r="AH12" s="443"/>
      <c r="AI12" s="443" t="s">
        <v>455</v>
      </c>
      <c r="AJ12" s="444"/>
      <c r="AK12" s="443">
        <f t="shared" si="0"/>
        <v>897247784954</v>
      </c>
      <c r="AL12" s="443"/>
      <c r="AM12" s="443">
        <v>0</v>
      </c>
      <c r="AN12" s="443"/>
      <c r="AO12" s="443">
        <v>0</v>
      </c>
      <c r="AP12" s="443"/>
      <c r="AQ12" s="443">
        <v>0</v>
      </c>
      <c r="AR12" s="443"/>
      <c r="AS12" s="443">
        <v>0</v>
      </c>
      <c r="AT12" s="443"/>
      <c r="AU12" s="443">
        <f t="shared" si="1"/>
        <v>2640231940399</v>
      </c>
      <c r="AV12" s="443"/>
      <c r="AW12" s="443">
        <f t="shared" si="2"/>
        <v>2099778359362</v>
      </c>
    </row>
    <row r="13" spans="1:52" ht="20.25" customHeight="1">
      <c r="B13" s="67" t="s">
        <v>36</v>
      </c>
      <c r="C13" s="55"/>
      <c r="D13" s="443">
        <v>5037781395002</v>
      </c>
      <c r="E13" s="443"/>
      <c r="F13" s="443">
        <v>3109114530</v>
      </c>
      <c r="G13" s="443"/>
      <c r="H13" s="443">
        <v>0</v>
      </c>
      <c r="I13" s="443"/>
      <c r="J13" s="443">
        <v>0</v>
      </c>
      <c r="K13" s="443"/>
      <c r="L13" s="443">
        <v>0</v>
      </c>
      <c r="M13" s="443"/>
      <c r="N13" s="443"/>
      <c r="O13" s="443">
        <v>0</v>
      </c>
      <c r="P13" s="443"/>
      <c r="Q13" s="443" t="s">
        <v>455</v>
      </c>
      <c r="R13" s="443"/>
      <c r="S13" s="443" t="s">
        <v>455</v>
      </c>
      <c r="T13" s="443"/>
      <c r="U13" s="443" t="s">
        <v>455</v>
      </c>
      <c r="V13" s="444"/>
      <c r="W13" s="443">
        <f>D13+F13</f>
        <v>5040890509532</v>
      </c>
      <c r="X13" s="443"/>
      <c r="Y13" s="443">
        <v>0</v>
      </c>
      <c r="Z13" s="443"/>
      <c r="AA13" s="443">
        <v>0</v>
      </c>
      <c r="AB13" s="443"/>
      <c r="AC13" s="443">
        <v>0</v>
      </c>
      <c r="AD13" s="443"/>
      <c r="AE13" s="443" t="s">
        <v>455</v>
      </c>
      <c r="AF13" s="443"/>
      <c r="AG13" s="443" t="s">
        <v>455</v>
      </c>
      <c r="AH13" s="443"/>
      <c r="AI13" s="443" t="s">
        <v>455</v>
      </c>
      <c r="AJ13" s="444"/>
      <c r="AK13" s="443">
        <f t="shared" si="0"/>
        <v>0</v>
      </c>
      <c r="AL13" s="443"/>
      <c r="AM13" s="443">
        <v>0</v>
      </c>
      <c r="AN13" s="443"/>
      <c r="AO13" s="443">
        <v>0</v>
      </c>
      <c r="AP13" s="443"/>
      <c r="AQ13" s="443">
        <v>0</v>
      </c>
      <c r="AR13" s="443"/>
      <c r="AS13" s="443">
        <v>0</v>
      </c>
      <c r="AT13" s="443"/>
      <c r="AU13" s="443">
        <f>W13-AK13</f>
        <v>5040890509532</v>
      </c>
      <c r="AV13" s="443"/>
      <c r="AW13" s="443">
        <f t="shared" si="2"/>
        <v>5037781395002</v>
      </c>
    </row>
    <row r="14" spans="1:52" ht="20.25" customHeight="1">
      <c r="B14" s="3" t="s">
        <v>7</v>
      </c>
      <c r="C14" s="44"/>
      <c r="D14" s="443">
        <v>58123454</v>
      </c>
      <c r="E14" s="443"/>
      <c r="F14" s="443">
        <v>32500000</v>
      </c>
      <c r="G14" s="443"/>
      <c r="H14" s="443">
        <v>0</v>
      </c>
      <c r="I14" s="443"/>
      <c r="J14" s="443">
        <v>0</v>
      </c>
      <c r="K14" s="443"/>
      <c r="L14" s="443">
        <v>0</v>
      </c>
      <c r="M14" s="443"/>
      <c r="N14" s="443"/>
      <c r="O14" s="443">
        <v>0</v>
      </c>
      <c r="P14" s="443"/>
      <c r="Q14" s="443" t="s">
        <v>455</v>
      </c>
      <c r="R14" s="443"/>
      <c r="S14" s="443" t="s">
        <v>455</v>
      </c>
      <c r="T14" s="443"/>
      <c r="U14" s="443" t="s">
        <v>455</v>
      </c>
      <c r="V14" s="444"/>
      <c r="W14" s="443">
        <f>D14+F14</f>
        <v>90623454</v>
      </c>
      <c r="X14" s="443"/>
      <c r="Y14" s="443">
        <v>0</v>
      </c>
      <c r="Z14" s="443"/>
      <c r="AA14" s="443">
        <v>0</v>
      </c>
      <c r="AB14" s="443"/>
      <c r="AC14" s="443">
        <v>0</v>
      </c>
      <c r="AD14" s="443"/>
      <c r="AE14" s="443" t="s">
        <v>455</v>
      </c>
      <c r="AF14" s="443"/>
      <c r="AG14" s="443" t="s">
        <v>455</v>
      </c>
      <c r="AH14" s="443"/>
      <c r="AI14" s="443" t="s">
        <v>455</v>
      </c>
      <c r="AJ14" s="444"/>
      <c r="AK14" s="443">
        <f t="shared" si="0"/>
        <v>0</v>
      </c>
      <c r="AL14" s="443"/>
      <c r="AM14" s="443">
        <v>0</v>
      </c>
      <c r="AN14" s="443"/>
      <c r="AO14" s="443">
        <v>0</v>
      </c>
      <c r="AP14" s="443"/>
      <c r="AQ14" s="443">
        <v>0</v>
      </c>
      <c r="AR14" s="443"/>
      <c r="AS14" s="443">
        <v>0</v>
      </c>
      <c r="AT14" s="443"/>
      <c r="AU14" s="443">
        <f t="shared" si="1"/>
        <v>90623454</v>
      </c>
      <c r="AV14" s="443"/>
      <c r="AW14" s="443">
        <f t="shared" si="2"/>
        <v>58123454</v>
      </c>
    </row>
    <row r="15" spans="1:52" ht="20.25" customHeight="1">
      <c r="B15" s="3" t="s">
        <v>37</v>
      </c>
      <c r="C15" s="44"/>
      <c r="D15" s="443">
        <v>850488530460</v>
      </c>
      <c r="E15" s="443"/>
      <c r="F15" s="443">
        <v>92012520773</v>
      </c>
      <c r="G15" s="443"/>
      <c r="H15" s="443">
        <v>0</v>
      </c>
      <c r="I15" s="443"/>
      <c r="J15" s="443">
        <v>20000000000</v>
      </c>
      <c r="K15" s="443"/>
      <c r="L15" s="443">
        <v>0</v>
      </c>
      <c r="M15" s="443"/>
      <c r="N15" s="443"/>
      <c r="O15" s="443">
        <v>-12432690</v>
      </c>
      <c r="P15" s="443"/>
      <c r="Q15" s="443" t="s">
        <v>455</v>
      </c>
      <c r="R15" s="443"/>
      <c r="S15" s="443" t="s">
        <v>455</v>
      </c>
      <c r="T15" s="443"/>
      <c r="U15" s="443" t="s">
        <v>455</v>
      </c>
      <c r="V15" s="444"/>
      <c r="W15" s="443">
        <f>D15+F15+H15+J15+L15+O15</f>
        <v>962488618543</v>
      </c>
      <c r="X15" s="443"/>
      <c r="Y15" s="443">
        <v>335514222424</v>
      </c>
      <c r="Z15" s="443"/>
      <c r="AA15" s="443">
        <v>69183479361</v>
      </c>
      <c r="AB15" s="443"/>
      <c r="AC15" s="443">
        <v>-12200440</v>
      </c>
      <c r="AD15" s="443"/>
      <c r="AE15" s="443" t="s">
        <v>455</v>
      </c>
      <c r="AF15" s="443"/>
      <c r="AG15" s="443" t="s">
        <v>455</v>
      </c>
      <c r="AH15" s="443"/>
      <c r="AI15" s="443" t="s">
        <v>455</v>
      </c>
      <c r="AJ15" s="444"/>
      <c r="AK15" s="443">
        <f t="shared" si="0"/>
        <v>404685501345</v>
      </c>
      <c r="AL15" s="443"/>
      <c r="AM15" s="443">
        <v>0</v>
      </c>
      <c r="AN15" s="443"/>
      <c r="AO15" s="443">
        <v>0</v>
      </c>
      <c r="AP15" s="443"/>
      <c r="AQ15" s="443">
        <v>0</v>
      </c>
      <c r="AR15" s="443"/>
      <c r="AS15" s="443">
        <v>0</v>
      </c>
      <c r="AT15" s="443"/>
      <c r="AU15" s="443">
        <f t="shared" si="1"/>
        <v>557803117198</v>
      </c>
      <c r="AV15" s="443"/>
      <c r="AW15" s="443">
        <f t="shared" si="2"/>
        <v>514974308036</v>
      </c>
    </row>
    <row r="16" spans="1:52">
      <c r="B16" s="67"/>
      <c r="C16" s="55"/>
      <c r="D16" s="445">
        <f>SUM(D9:D15)</f>
        <v>11487186560155</v>
      </c>
      <c r="E16" s="443"/>
      <c r="F16" s="445">
        <f>SUM(F9:F15)</f>
        <v>298970713837</v>
      </c>
      <c r="G16" s="443"/>
      <c r="H16" s="445">
        <f>SUM(H9:H15)</f>
        <v>0</v>
      </c>
      <c r="I16" s="443"/>
      <c r="J16" s="445">
        <f>SUM(J9:J15)</f>
        <v>214554237456</v>
      </c>
      <c r="K16" s="443"/>
      <c r="L16" s="445">
        <f>SUM(L9:L15)</f>
        <v>717349972861</v>
      </c>
      <c r="M16" s="443"/>
      <c r="N16" s="443"/>
      <c r="O16" s="445">
        <f>SUM(O9:O15)</f>
        <v>-3551200616</v>
      </c>
      <c r="P16" s="443"/>
      <c r="Q16" s="445">
        <f>SUM(Q9:Q15)</f>
        <v>0</v>
      </c>
      <c r="R16" s="443"/>
      <c r="S16" s="445">
        <f>SUM(S9:S15)</f>
        <v>0</v>
      </c>
      <c r="T16" s="443"/>
      <c r="U16" s="445">
        <f>SUM(U9:U15)</f>
        <v>0</v>
      </c>
      <c r="V16" s="443"/>
      <c r="W16" s="445">
        <f>SUM(W9:W15)</f>
        <v>12714510283693</v>
      </c>
      <c r="X16" s="444"/>
      <c r="Y16" s="445">
        <f>SUM(Y9:Y15)</f>
        <v>2480069644592</v>
      </c>
      <c r="Z16" s="443"/>
      <c r="AA16" s="445">
        <f>SUM(AA9:AA15)</f>
        <v>545263174504</v>
      </c>
      <c r="AB16" s="443"/>
      <c r="AC16" s="445">
        <f>SUM(AC9:AC15)</f>
        <v>-3496629602</v>
      </c>
      <c r="AD16" s="446"/>
      <c r="AE16" s="445">
        <f>SUM(AE9:AE15)</f>
        <v>0</v>
      </c>
      <c r="AF16" s="446"/>
      <c r="AG16" s="445">
        <f>SUM(AG9:AG15)</f>
        <v>0</v>
      </c>
      <c r="AH16" s="446"/>
      <c r="AI16" s="445">
        <f ca="1">SUM(AI9:AI16)</f>
        <v>0</v>
      </c>
      <c r="AJ16" s="444"/>
      <c r="AK16" s="445">
        <f>SUM(AK9:AK15)</f>
        <v>3021836189494</v>
      </c>
      <c r="AL16" s="443"/>
      <c r="AM16" s="445">
        <f>SUM(AM9:AM15)</f>
        <v>0</v>
      </c>
      <c r="AN16" s="443"/>
      <c r="AO16" s="445">
        <f>SUM(AO9:AO15)</f>
        <v>0</v>
      </c>
      <c r="AP16" s="443"/>
      <c r="AQ16" s="445">
        <f>SUM(AQ9:AQ15)</f>
        <v>0</v>
      </c>
      <c r="AR16" s="443"/>
      <c r="AS16" s="445">
        <f>SUM(AS9:AS15)</f>
        <v>0</v>
      </c>
      <c r="AT16" s="444"/>
      <c r="AU16" s="445">
        <f>SUM(AU9:AU15)</f>
        <v>9692674094199</v>
      </c>
      <c r="AV16" s="443"/>
      <c r="AW16" s="445">
        <f>SUM(AW9:AW15)</f>
        <v>9007116915563</v>
      </c>
    </row>
    <row r="17" spans="2:60" ht="21.75" customHeight="1">
      <c r="B17" s="67" t="s">
        <v>208</v>
      </c>
      <c r="C17" s="55"/>
      <c r="D17" s="443">
        <v>210994899522</v>
      </c>
      <c r="E17" s="443"/>
      <c r="F17" s="443">
        <v>130865805393</v>
      </c>
      <c r="G17" s="443"/>
      <c r="H17" s="443">
        <v>0</v>
      </c>
      <c r="I17" s="443"/>
      <c r="J17" s="443">
        <v>0</v>
      </c>
      <c r="K17" s="443"/>
      <c r="L17" s="443" t="s">
        <v>455</v>
      </c>
      <c r="M17" s="443"/>
      <c r="N17" s="443"/>
      <c r="O17" s="443" t="s">
        <v>43</v>
      </c>
      <c r="P17" s="443"/>
      <c r="Q17" s="443" t="s">
        <v>43</v>
      </c>
      <c r="R17" s="443"/>
      <c r="S17" s="443" t="s">
        <v>43</v>
      </c>
      <c r="T17" s="443"/>
      <c r="U17" s="443" t="s">
        <v>43</v>
      </c>
      <c r="V17" s="443"/>
      <c r="W17" s="479">
        <f>SUM(D17:O17)</f>
        <v>341860704915</v>
      </c>
      <c r="X17" s="444"/>
      <c r="Y17" s="856"/>
      <c r="Z17" s="856"/>
      <c r="AA17" s="856"/>
      <c r="AB17" s="856"/>
      <c r="AC17" s="856"/>
      <c r="AD17" s="856"/>
      <c r="AE17" s="856"/>
      <c r="AF17" s="856"/>
      <c r="AG17" s="856"/>
      <c r="AH17" s="856"/>
      <c r="AI17" s="856"/>
      <c r="AJ17" s="856"/>
      <c r="AK17" s="856"/>
      <c r="AL17" s="856"/>
      <c r="AM17" s="856"/>
      <c r="AN17" s="856"/>
      <c r="AO17" s="856"/>
      <c r="AP17" s="856"/>
      <c r="AQ17" s="856"/>
      <c r="AR17" s="444"/>
      <c r="AS17" s="443">
        <v>0</v>
      </c>
      <c r="AT17" s="444"/>
      <c r="AU17" s="443">
        <f>W17</f>
        <v>341860704915</v>
      </c>
      <c r="AV17" s="443"/>
      <c r="AW17" s="443">
        <f>D17</f>
        <v>210994899522</v>
      </c>
    </row>
    <row r="18" spans="2:60" ht="21.75" customHeight="1">
      <c r="B18" s="67" t="s">
        <v>8</v>
      </c>
      <c r="C18" s="55"/>
      <c r="D18" s="443">
        <v>3637686682398</v>
      </c>
      <c r="E18" s="443"/>
      <c r="F18" s="443">
        <v>557570643684</v>
      </c>
      <c r="G18" s="443"/>
      <c r="H18" s="443">
        <v>0</v>
      </c>
      <c r="I18" s="443"/>
      <c r="J18" s="443">
        <v>0</v>
      </c>
      <c r="K18" s="443"/>
      <c r="L18" s="443">
        <v>-717349972861</v>
      </c>
      <c r="M18" s="443"/>
      <c r="N18" s="443"/>
      <c r="O18" s="443" t="s">
        <v>43</v>
      </c>
      <c r="P18" s="443"/>
      <c r="Q18" s="443" t="s">
        <v>43</v>
      </c>
      <c r="R18" s="443"/>
      <c r="S18" s="443" t="s">
        <v>43</v>
      </c>
      <c r="T18" s="443"/>
      <c r="U18" s="443" t="s">
        <v>43</v>
      </c>
      <c r="V18" s="443"/>
      <c r="W18" s="443">
        <f>SUM(D18:O18)</f>
        <v>3477907353221</v>
      </c>
      <c r="X18" s="444"/>
      <c r="Y18" s="856"/>
      <c r="Z18" s="856"/>
      <c r="AA18" s="856"/>
      <c r="AB18" s="856"/>
      <c r="AC18" s="856"/>
      <c r="AD18" s="856"/>
      <c r="AE18" s="856"/>
      <c r="AF18" s="856"/>
      <c r="AG18" s="856"/>
      <c r="AH18" s="856"/>
      <c r="AI18" s="856"/>
      <c r="AJ18" s="856"/>
      <c r="AK18" s="856"/>
      <c r="AL18" s="856"/>
      <c r="AM18" s="856"/>
      <c r="AN18" s="856"/>
      <c r="AO18" s="856"/>
      <c r="AP18" s="856"/>
      <c r="AQ18" s="856"/>
      <c r="AR18" s="444"/>
      <c r="AS18" s="443">
        <v>0</v>
      </c>
      <c r="AT18" s="444"/>
      <c r="AU18" s="443">
        <f>W18</f>
        <v>3477907353221</v>
      </c>
      <c r="AV18" s="443"/>
      <c r="AW18" s="443">
        <f>D18</f>
        <v>3637686682398</v>
      </c>
    </row>
    <row r="19" spans="2:60" ht="21.75" customHeight="1">
      <c r="B19" s="3" t="s">
        <v>39</v>
      </c>
      <c r="C19" s="55"/>
      <c r="D19" s="443">
        <v>65621511915</v>
      </c>
      <c r="E19" s="443"/>
      <c r="F19" s="443">
        <v>105143549819</v>
      </c>
      <c r="G19" s="443"/>
      <c r="H19" s="443">
        <v>0</v>
      </c>
      <c r="I19" s="443"/>
      <c r="J19" s="443">
        <v>0</v>
      </c>
      <c r="K19" s="443"/>
      <c r="L19" s="443" t="s">
        <v>455</v>
      </c>
      <c r="M19" s="443"/>
      <c r="N19" s="443"/>
      <c r="O19" s="443" t="s">
        <v>43</v>
      </c>
      <c r="P19" s="443"/>
      <c r="Q19" s="443" t="s">
        <v>43</v>
      </c>
      <c r="R19" s="443"/>
      <c r="S19" s="443" t="s">
        <v>43</v>
      </c>
      <c r="T19" s="443"/>
      <c r="U19" s="443" t="s">
        <v>43</v>
      </c>
      <c r="V19" s="443"/>
      <c r="W19" s="443">
        <f>SUM(D19:O19)</f>
        <v>170765061734</v>
      </c>
      <c r="X19" s="444"/>
      <c r="Y19" s="856"/>
      <c r="Z19" s="856"/>
      <c r="AA19" s="856"/>
      <c r="AB19" s="856"/>
      <c r="AC19" s="856"/>
      <c r="AD19" s="856"/>
      <c r="AE19" s="856"/>
      <c r="AF19" s="856"/>
      <c r="AG19" s="856"/>
      <c r="AH19" s="856"/>
      <c r="AI19" s="856"/>
      <c r="AJ19" s="856"/>
      <c r="AK19" s="856"/>
      <c r="AL19" s="856"/>
      <c r="AM19" s="856"/>
      <c r="AN19" s="856"/>
      <c r="AO19" s="856"/>
      <c r="AP19" s="856"/>
      <c r="AQ19" s="856"/>
      <c r="AR19" s="444"/>
      <c r="AS19" s="443">
        <v>0</v>
      </c>
      <c r="AT19" s="444"/>
      <c r="AU19" s="443">
        <f>W19</f>
        <v>170765061734</v>
      </c>
      <c r="AV19" s="443"/>
      <c r="AW19" s="443">
        <f>D19</f>
        <v>65621511915</v>
      </c>
    </row>
    <row r="20" spans="2:60" ht="18" customHeight="1" thickBot="1">
      <c r="D20" s="447">
        <f>SUM(D16:D19)</f>
        <v>15401489653990</v>
      </c>
      <c r="E20" s="443"/>
      <c r="F20" s="447">
        <f>SUM(F16:F19)</f>
        <v>1092550712733</v>
      </c>
      <c r="G20" s="399"/>
      <c r="H20" s="447">
        <f>SUM(H16:H19)</f>
        <v>0</v>
      </c>
      <c r="I20" s="399"/>
      <c r="J20" s="447">
        <f>SUM(J16:J19)</f>
        <v>214554237456</v>
      </c>
      <c r="K20" s="399"/>
      <c r="L20" s="447">
        <f>SUM(L16:L19)</f>
        <v>0</v>
      </c>
      <c r="M20" s="399"/>
      <c r="N20" s="443"/>
      <c r="O20" s="447">
        <f>SUM(O16)</f>
        <v>-3551200616</v>
      </c>
      <c r="P20" s="399"/>
      <c r="Q20" s="447">
        <f>SUM(Q16)</f>
        <v>0</v>
      </c>
      <c r="R20" s="399"/>
      <c r="S20" s="447">
        <f>SUM(S16)</f>
        <v>0</v>
      </c>
      <c r="T20" s="448"/>
      <c r="U20" s="447">
        <f>SUM(U16)</f>
        <v>0</v>
      </c>
      <c r="V20" s="444"/>
      <c r="W20" s="447">
        <f>SUM(W16:W19)</f>
        <v>16705043403563</v>
      </c>
      <c r="X20" s="444"/>
      <c r="Y20" s="447">
        <f>SUM(Y16)</f>
        <v>2480069644592</v>
      </c>
      <c r="Z20" s="444"/>
      <c r="AA20" s="447">
        <f>SUM(AA16)</f>
        <v>545263174504</v>
      </c>
      <c r="AB20" s="444"/>
      <c r="AC20" s="447">
        <f>SUM(AC16)</f>
        <v>-3496629602</v>
      </c>
      <c r="AD20" s="399"/>
      <c r="AE20" s="447">
        <f>SUM(AE16)</f>
        <v>0</v>
      </c>
      <c r="AF20" s="399"/>
      <c r="AG20" s="447">
        <f>SUM(AG16)</f>
        <v>0</v>
      </c>
      <c r="AH20" s="399"/>
      <c r="AI20" s="447">
        <f ca="1">SUM(AI16)</f>
        <v>0</v>
      </c>
      <c r="AJ20" s="444"/>
      <c r="AK20" s="447">
        <f>SUM(AK16)</f>
        <v>3021836189494</v>
      </c>
      <c r="AL20" s="443"/>
      <c r="AM20" s="447">
        <f>SUM(AM16)</f>
        <v>0</v>
      </c>
      <c r="AN20" s="443"/>
      <c r="AO20" s="447">
        <f>SUM(AO16)</f>
        <v>0</v>
      </c>
      <c r="AP20" s="443"/>
      <c r="AQ20" s="447">
        <f>SUM(AQ16)</f>
        <v>0</v>
      </c>
      <c r="AR20" s="443"/>
      <c r="AS20" s="447">
        <f>SUM(AS16:AS19)</f>
        <v>0</v>
      </c>
      <c r="AT20" s="444"/>
      <c r="AU20" s="447">
        <f>SUM(AU16:AU19)</f>
        <v>13683207214069</v>
      </c>
      <c r="AV20" s="444"/>
      <c r="AW20" s="447">
        <f>SUM(AW16:AW19)</f>
        <v>12921420009398</v>
      </c>
    </row>
    <row r="21" spans="2:60" ht="18" customHeight="1" thickTop="1">
      <c r="D21" s="54"/>
      <c r="E21" s="53"/>
      <c r="F21" s="31"/>
      <c r="G21"/>
      <c r="H21" s="31"/>
      <c r="I21"/>
      <c r="J21" s="329"/>
      <c r="K21"/>
      <c r="L21" s="54"/>
      <c r="M21"/>
      <c r="N21" s="54"/>
      <c r="O21" s="54"/>
      <c r="P21"/>
      <c r="Q21" s="54"/>
      <c r="R21"/>
      <c r="S21" s="49"/>
      <c r="T21" s="49"/>
      <c r="U21" s="54"/>
      <c r="V21" s="49"/>
      <c r="W21" s="333"/>
      <c r="X21" s="31"/>
      <c r="Y21" s="54"/>
      <c r="AA21" s="54"/>
      <c r="AD21"/>
      <c r="AF21"/>
      <c r="AH21"/>
      <c r="AI21" s="54"/>
      <c r="AJ21" s="31"/>
      <c r="AK21" s="54"/>
      <c r="AL21" s="54"/>
      <c r="AM21" s="54"/>
      <c r="AN21" s="54"/>
      <c r="AO21" s="54"/>
      <c r="AP21" s="54"/>
      <c r="AQ21" s="54"/>
      <c r="AR21" s="54"/>
      <c r="AS21" s="54"/>
      <c r="AT21" s="31"/>
      <c r="AU21" s="54"/>
      <c r="AV21" s="31"/>
      <c r="AW21" s="54"/>
    </row>
    <row r="22" spans="2:60" s="75" customFormat="1" ht="21" customHeight="1">
      <c r="B22" s="853" t="s">
        <v>1183</v>
      </c>
      <c r="C22" s="853"/>
      <c r="D22" s="853"/>
      <c r="E22" s="853"/>
      <c r="F22" s="853"/>
      <c r="G22" s="853"/>
      <c r="H22" s="853"/>
      <c r="I22" s="853"/>
      <c r="J22" s="853"/>
      <c r="K22" s="853"/>
      <c r="L22" s="853"/>
      <c r="M22" s="853"/>
      <c r="N22" s="853"/>
      <c r="O22" s="853"/>
      <c r="P22" s="853"/>
      <c r="Q22" s="853"/>
      <c r="R22" s="853"/>
      <c r="S22" s="853"/>
      <c r="T22" s="853"/>
      <c r="U22" s="853"/>
      <c r="V22" s="853"/>
      <c r="W22" s="853"/>
      <c r="X22" s="853"/>
      <c r="Y22" s="853"/>
      <c r="Z22" s="853"/>
      <c r="AA22" s="853"/>
      <c r="AB22" s="853"/>
      <c r="AC22" s="853"/>
      <c r="AD22" s="853"/>
      <c r="AE22" s="853"/>
      <c r="AF22" s="853"/>
      <c r="AG22" s="853"/>
      <c r="AH22" s="853"/>
      <c r="AI22" s="853"/>
      <c r="AJ22" s="853"/>
      <c r="AK22" s="853"/>
      <c r="AL22" s="853"/>
      <c r="AM22" s="853"/>
      <c r="AN22" s="853"/>
      <c r="AO22" s="853"/>
      <c r="AP22" s="853"/>
      <c r="AQ22" s="853"/>
      <c r="AR22" s="853"/>
      <c r="AS22" s="853"/>
      <c r="AT22" s="853"/>
      <c r="AU22" s="853"/>
      <c r="AV22" s="853"/>
      <c r="AW22" s="853"/>
      <c r="AX22" s="851"/>
      <c r="AY22" s="851"/>
      <c r="AZ22" s="851"/>
      <c r="BA22" s="851"/>
      <c r="BB22" s="851"/>
      <c r="BC22" s="851"/>
      <c r="BD22" s="851"/>
      <c r="BE22" s="851"/>
      <c r="BF22" s="851"/>
      <c r="BG22" s="851"/>
      <c r="BH22" s="851"/>
    </row>
    <row r="23" spans="2:60" s="75" customFormat="1" ht="18.75" customHeight="1">
      <c r="B23" s="853" t="s">
        <v>1184</v>
      </c>
      <c r="C23" s="853"/>
      <c r="D23" s="853"/>
      <c r="E23" s="853"/>
      <c r="F23" s="853"/>
      <c r="G23" s="853"/>
      <c r="H23" s="853"/>
      <c r="I23" s="853"/>
      <c r="J23" s="853"/>
      <c r="K23" s="853"/>
      <c r="L23" s="853"/>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3"/>
      <c r="AK23" s="853"/>
      <c r="AL23" s="853"/>
      <c r="AM23" s="853"/>
      <c r="AN23" s="853"/>
      <c r="AO23" s="853"/>
      <c r="AP23" s="853"/>
      <c r="AQ23" s="853"/>
      <c r="AR23" s="853"/>
      <c r="AS23" s="853"/>
      <c r="AT23" s="853"/>
      <c r="AU23" s="853"/>
      <c r="AV23" s="853"/>
      <c r="AW23" s="853"/>
      <c r="AX23" s="452"/>
      <c r="AY23" s="452"/>
      <c r="AZ23" s="452"/>
      <c r="BA23" s="452"/>
      <c r="BB23" s="452"/>
      <c r="BC23" s="452"/>
      <c r="BD23" s="452"/>
      <c r="BE23" s="452"/>
      <c r="BF23" s="452"/>
      <c r="BG23" s="452"/>
      <c r="BH23" s="452"/>
    </row>
    <row r="24" spans="2:60" s="75" customFormat="1" ht="27" customHeight="1">
      <c r="B24" s="852" t="s">
        <v>1185</v>
      </c>
      <c r="C24" s="852"/>
      <c r="D24" s="852"/>
      <c r="E24" s="852"/>
      <c r="F24" s="852"/>
      <c r="G24" s="852"/>
      <c r="H24" s="852"/>
      <c r="I24" s="852"/>
      <c r="J24" s="852"/>
      <c r="K24" s="852"/>
      <c r="L24" s="852"/>
      <c r="M24" s="852"/>
      <c r="N24" s="852"/>
      <c r="O24" s="852"/>
      <c r="P24" s="852"/>
      <c r="Q24" s="852"/>
      <c r="R24" s="852"/>
      <c r="S24" s="852"/>
      <c r="T24" s="852"/>
      <c r="U24" s="852"/>
      <c r="V24" s="852"/>
      <c r="W24" s="852"/>
      <c r="X24" s="852"/>
      <c r="Y24" s="852"/>
      <c r="Z24" s="852"/>
      <c r="AA24" s="852"/>
      <c r="AB24" s="852"/>
      <c r="AC24" s="852"/>
      <c r="AD24" s="852"/>
      <c r="AE24" s="852"/>
      <c r="AF24" s="852"/>
      <c r="AG24" s="852"/>
      <c r="AH24" s="852"/>
      <c r="AI24" s="852"/>
      <c r="AJ24" s="852"/>
      <c r="AK24" s="852"/>
      <c r="AL24" s="852"/>
      <c r="AM24" s="852"/>
      <c r="AN24" s="852"/>
      <c r="AO24" s="852"/>
      <c r="AP24" s="852"/>
      <c r="AQ24" s="852"/>
      <c r="AR24" s="852"/>
      <c r="AS24" s="852"/>
      <c r="AT24" s="852"/>
      <c r="AU24" s="852"/>
      <c r="AV24" s="852"/>
      <c r="AW24" s="852"/>
      <c r="AX24" s="851"/>
      <c r="AY24" s="851"/>
      <c r="AZ24" s="851"/>
      <c r="BA24" s="851"/>
      <c r="BB24" s="851"/>
      <c r="BC24" s="851"/>
      <c r="BD24" s="851"/>
      <c r="BE24" s="851"/>
      <c r="BF24" s="851"/>
      <c r="BG24" s="851"/>
      <c r="BH24" s="851"/>
    </row>
    <row r="25" spans="2:60" s="75" customFormat="1" ht="24" customHeight="1">
      <c r="B25" s="806" t="s">
        <v>1186</v>
      </c>
      <c r="C25" s="806"/>
      <c r="D25" s="806"/>
      <c r="E25" s="806"/>
      <c r="F25" s="806"/>
      <c r="G25" s="806"/>
      <c r="H25" s="806"/>
      <c r="I25" s="806"/>
      <c r="J25" s="806"/>
      <c r="K25" s="806"/>
      <c r="L25" s="806"/>
      <c r="M25" s="806"/>
      <c r="N25" s="806"/>
      <c r="O25" s="806"/>
      <c r="P25" s="806"/>
      <c r="Q25" s="806"/>
      <c r="R25" s="806"/>
      <c r="S25" s="806"/>
      <c r="T25" s="806"/>
      <c r="U25" s="806"/>
      <c r="V25" s="806"/>
      <c r="W25" s="806"/>
      <c r="X25" s="806"/>
      <c r="Y25" s="806"/>
      <c r="Z25" s="806"/>
      <c r="AA25" s="806"/>
      <c r="AB25" s="806"/>
      <c r="AC25" s="806"/>
      <c r="AD25" s="806"/>
      <c r="AE25" s="806"/>
      <c r="AF25" s="806"/>
      <c r="AG25" s="806"/>
      <c r="AH25" s="806"/>
      <c r="AI25" s="806"/>
      <c r="AJ25" s="806"/>
      <c r="AK25" s="806"/>
      <c r="AL25" s="806"/>
      <c r="AM25" s="806"/>
      <c r="AN25" s="806"/>
      <c r="AO25" s="806"/>
      <c r="AP25" s="806"/>
      <c r="AQ25" s="806"/>
      <c r="AR25" s="806"/>
      <c r="AS25" s="806"/>
      <c r="AT25" s="806"/>
      <c r="AU25" s="806"/>
      <c r="AV25" s="806"/>
      <c r="AW25" s="806"/>
      <c r="AX25" s="452"/>
      <c r="AY25" s="452"/>
      <c r="AZ25" s="452"/>
      <c r="BA25" s="452"/>
      <c r="BB25" s="452"/>
      <c r="BC25" s="452"/>
      <c r="BD25" s="452"/>
      <c r="BE25" s="452"/>
      <c r="BF25" s="452"/>
      <c r="BG25" s="452"/>
      <c r="BH25" s="452"/>
    </row>
    <row r="26" spans="2:60" s="75" customFormat="1" ht="24" customHeight="1">
      <c r="B26" s="806" t="s">
        <v>1187</v>
      </c>
      <c r="C26" s="806"/>
      <c r="D26" s="806"/>
      <c r="E26" s="806"/>
      <c r="F26" s="806"/>
      <c r="G26" s="806"/>
      <c r="H26" s="806"/>
      <c r="I26" s="806"/>
      <c r="J26" s="806"/>
      <c r="K26" s="806"/>
      <c r="L26" s="806"/>
      <c r="M26" s="806"/>
      <c r="N26" s="806"/>
      <c r="O26" s="806"/>
      <c r="P26" s="806"/>
      <c r="Q26" s="806"/>
      <c r="R26" s="806"/>
      <c r="S26" s="806"/>
      <c r="T26" s="806"/>
      <c r="U26" s="806"/>
      <c r="V26" s="806"/>
      <c r="W26" s="806"/>
      <c r="X26" s="806"/>
      <c r="Y26" s="806"/>
      <c r="Z26" s="806"/>
      <c r="AA26" s="806"/>
      <c r="AB26" s="806"/>
      <c r="AC26" s="806"/>
      <c r="AD26" s="806"/>
      <c r="AE26" s="806"/>
      <c r="AF26" s="806"/>
      <c r="AG26" s="806"/>
      <c r="AH26" s="806"/>
      <c r="AI26" s="806"/>
      <c r="AJ26" s="806"/>
      <c r="AK26" s="806"/>
      <c r="AL26" s="806"/>
      <c r="AM26" s="806"/>
      <c r="AN26" s="806"/>
      <c r="AO26" s="806"/>
      <c r="AP26" s="806"/>
      <c r="AQ26" s="806"/>
      <c r="AR26" s="806"/>
      <c r="AS26" s="806"/>
      <c r="AT26" s="806"/>
      <c r="AU26" s="806"/>
      <c r="AV26" s="806"/>
      <c r="AW26" s="806"/>
      <c r="AX26" s="452"/>
      <c r="AY26" s="452"/>
      <c r="AZ26" s="452"/>
      <c r="BA26" s="452"/>
      <c r="BB26" s="452"/>
      <c r="BC26" s="452"/>
      <c r="BD26" s="452"/>
      <c r="BE26" s="452"/>
      <c r="BF26" s="452"/>
      <c r="BG26" s="452"/>
      <c r="BH26" s="452"/>
    </row>
    <row r="27" spans="2:60" s="75" customFormat="1" ht="22.5" customHeight="1">
      <c r="B27" s="806" t="s">
        <v>1188</v>
      </c>
      <c r="C27" s="806"/>
      <c r="D27" s="806"/>
      <c r="E27" s="806"/>
      <c r="F27" s="806"/>
      <c r="G27" s="806"/>
      <c r="H27" s="806"/>
      <c r="I27" s="806"/>
      <c r="J27" s="806"/>
      <c r="K27" s="806"/>
      <c r="L27" s="806"/>
      <c r="M27" s="806"/>
      <c r="N27" s="806"/>
      <c r="O27" s="806"/>
      <c r="P27" s="806"/>
      <c r="Q27" s="806"/>
      <c r="R27" s="806"/>
      <c r="S27" s="806"/>
      <c r="T27" s="806"/>
      <c r="U27" s="806"/>
      <c r="V27" s="806"/>
      <c r="W27" s="806"/>
      <c r="X27" s="806"/>
      <c r="Y27" s="806"/>
      <c r="Z27" s="806"/>
      <c r="AA27" s="806"/>
      <c r="AB27" s="806"/>
      <c r="AC27" s="806"/>
      <c r="AD27" s="806"/>
      <c r="AE27" s="806"/>
      <c r="AF27" s="806"/>
      <c r="AG27" s="806"/>
      <c r="AH27" s="806"/>
      <c r="AI27" s="806"/>
      <c r="AJ27" s="806"/>
      <c r="AK27" s="806"/>
      <c r="AL27" s="806"/>
      <c r="AM27" s="806"/>
      <c r="AN27" s="806"/>
      <c r="AO27" s="806"/>
      <c r="AP27" s="806"/>
      <c r="AQ27" s="806"/>
      <c r="AR27" s="806"/>
      <c r="AS27" s="806"/>
      <c r="AT27" s="806"/>
      <c r="AU27" s="806"/>
      <c r="AV27" s="806"/>
      <c r="AW27" s="806"/>
      <c r="AX27" s="452"/>
      <c r="AY27" s="452"/>
      <c r="AZ27" s="452"/>
      <c r="BA27" s="452"/>
      <c r="BB27" s="452"/>
      <c r="BC27" s="452"/>
      <c r="BD27" s="452"/>
      <c r="BE27" s="452"/>
      <c r="BF27" s="452"/>
      <c r="BG27" s="452"/>
      <c r="BH27" s="452"/>
    </row>
    <row r="28" spans="2:60" s="75" customFormat="1" ht="19.5" customHeight="1">
      <c r="B28" s="806" t="s">
        <v>1189</v>
      </c>
      <c r="C28" s="806"/>
      <c r="D28" s="806"/>
      <c r="E28" s="806"/>
      <c r="F28" s="806"/>
      <c r="G28" s="806"/>
      <c r="H28" s="806"/>
      <c r="I28" s="806"/>
      <c r="J28" s="806"/>
      <c r="K28" s="806"/>
      <c r="L28" s="806"/>
      <c r="M28" s="806"/>
      <c r="N28" s="806"/>
      <c r="O28" s="806"/>
      <c r="P28" s="806"/>
      <c r="Q28" s="806"/>
      <c r="R28" s="806"/>
      <c r="S28" s="806"/>
      <c r="T28" s="806"/>
      <c r="U28" s="806"/>
      <c r="V28" s="806"/>
      <c r="W28" s="806"/>
      <c r="X28" s="806"/>
      <c r="Y28" s="806"/>
      <c r="Z28" s="806"/>
      <c r="AA28" s="806"/>
      <c r="AB28" s="806"/>
      <c r="AC28" s="806"/>
      <c r="AD28" s="806"/>
      <c r="AE28" s="806"/>
      <c r="AF28" s="806"/>
      <c r="AG28" s="806"/>
      <c r="AH28" s="806"/>
      <c r="AI28" s="806"/>
      <c r="AJ28" s="806"/>
      <c r="AK28" s="806"/>
      <c r="AL28" s="806"/>
      <c r="AM28" s="806"/>
      <c r="AN28" s="806"/>
      <c r="AO28" s="806"/>
      <c r="AP28" s="806"/>
      <c r="AQ28" s="806"/>
      <c r="AR28" s="806"/>
      <c r="AS28" s="806"/>
      <c r="AT28" s="806"/>
      <c r="AU28" s="806"/>
      <c r="AV28" s="806"/>
      <c r="AW28" s="806"/>
      <c r="AX28" s="452"/>
      <c r="AY28" s="452"/>
      <c r="AZ28" s="452"/>
      <c r="BA28" s="452"/>
      <c r="BB28" s="452"/>
      <c r="BC28" s="452"/>
      <c r="BD28" s="452"/>
      <c r="BE28" s="452"/>
      <c r="BF28" s="452"/>
      <c r="BG28" s="452"/>
      <c r="BH28" s="452"/>
    </row>
    <row r="29" spans="2:60" s="324" customFormat="1" ht="23.25" customHeight="1">
      <c r="B29" s="853" t="s">
        <v>1190</v>
      </c>
      <c r="C29" s="853"/>
      <c r="D29" s="853"/>
      <c r="E29" s="853"/>
      <c r="F29" s="853"/>
      <c r="G29" s="853"/>
      <c r="H29" s="853"/>
      <c r="I29" s="853"/>
      <c r="J29" s="853"/>
      <c r="K29" s="853"/>
      <c r="L29" s="853"/>
      <c r="M29" s="853"/>
      <c r="N29" s="853"/>
      <c r="O29" s="853"/>
      <c r="P29" s="853"/>
      <c r="Q29" s="853"/>
      <c r="R29" s="853"/>
      <c r="S29" s="853"/>
      <c r="T29" s="853"/>
      <c r="U29" s="853"/>
      <c r="V29" s="853"/>
      <c r="W29" s="853"/>
      <c r="X29" s="853"/>
      <c r="Y29" s="853"/>
      <c r="Z29" s="853"/>
      <c r="AA29" s="853"/>
      <c r="AB29" s="853"/>
      <c r="AC29" s="853"/>
      <c r="AD29" s="853"/>
      <c r="AE29" s="853"/>
      <c r="AF29" s="853"/>
      <c r="AG29" s="853"/>
      <c r="AH29" s="853"/>
      <c r="AI29" s="853"/>
      <c r="AJ29" s="853"/>
      <c r="AK29" s="853"/>
      <c r="AL29" s="853"/>
      <c r="AM29" s="853"/>
      <c r="AN29" s="853"/>
      <c r="AO29" s="853"/>
      <c r="AP29" s="853"/>
      <c r="AQ29" s="853"/>
      <c r="AR29" s="853"/>
      <c r="AS29" s="853"/>
      <c r="AT29" s="853"/>
      <c r="AU29" s="853"/>
      <c r="AV29" s="853"/>
      <c r="AW29" s="853"/>
      <c r="AX29" s="857"/>
      <c r="AY29" s="857"/>
      <c r="AZ29" s="857"/>
      <c r="BA29" s="857"/>
      <c r="BB29" s="857"/>
      <c r="BC29" s="857"/>
      <c r="BD29" s="857"/>
      <c r="BE29" s="857"/>
      <c r="BF29" s="857"/>
      <c r="BG29" s="857"/>
      <c r="BH29" s="857"/>
    </row>
    <row r="30" spans="2:60" s="324" customFormat="1" ht="37.5" customHeight="1">
      <c r="B30" s="853" t="s">
        <v>1191</v>
      </c>
      <c r="C30" s="853"/>
      <c r="D30" s="853"/>
      <c r="E30" s="853"/>
      <c r="F30" s="853"/>
      <c r="G30" s="853"/>
      <c r="H30" s="853"/>
      <c r="I30" s="853"/>
      <c r="J30" s="853"/>
      <c r="K30" s="853"/>
      <c r="L30" s="853"/>
      <c r="M30" s="853"/>
      <c r="N30" s="853"/>
      <c r="O30" s="853"/>
      <c r="P30" s="853"/>
      <c r="Q30" s="853"/>
      <c r="R30" s="853"/>
      <c r="S30" s="853"/>
      <c r="T30" s="853"/>
      <c r="U30" s="853"/>
      <c r="V30" s="853"/>
      <c r="W30" s="853"/>
      <c r="X30" s="853"/>
      <c r="Y30" s="853"/>
      <c r="Z30" s="853"/>
      <c r="AA30" s="853"/>
      <c r="AB30" s="853"/>
      <c r="AC30" s="853"/>
      <c r="AD30" s="853"/>
      <c r="AE30" s="853"/>
      <c r="AF30" s="853"/>
      <c r="AG30" s="853"/>
      <c r="AH30" s="853"/>
      <c r="AI30" s="853"/>
      <c r="AJ30" s="853"/>
      <c r="AK30" s="853"/>
      <c r="AL30" s="853"/>
      <c r="AM30" s="853"/>
      <c r="AN30" s="853"/>
      <c r="AO30" s="853"/>
      <c r="AP30" s="853"/>
      <c r="AQ30" s="853"/>
      <c r="AR30" s="853"/>
      <c r="AS30" s="853"/>
      <c r="AT30" s="853"/>
      <c r="AU30" s="853"/>
      <c r="AV30" s="853"/>
      <c r="AW30" s="853"/>
      <c r="AX30" s="471"/>
      <c r="AY30" s="471"/>
      <c r="AZ30" s="471"/>
      <c r="BA30" s="471"/>
      <c r="BB30" s="471"/>
      <c r="BC30" s="471"/>
      <c r="BD30" s="471"/>
      <c r="BE30" s="471"/>
      <c r="BF30" s="471"/>
      <c r="BG30" s="471"/>
      <c r="BH30" s="471"/>
    </row>
    <row r="31" spans="2:60" s="324" customFormat="1" ht="37.5" customHeight="1">
      <c r="B31" s="853" t="s">
        <v>1192</v>
      </c>
      <c r="C31" s="853"/>
      <c r="D31" s="853"/>
      <c r="E31" s="853"/>
      <c r="F31" s="853"/>
      <c r="G31" s="853"/>
      <c r="H31" s="853"/>
      <c r="I31" s="853"/>
      <c r="J31" s="853"/>
      <c r="K31" s="853"/>
      <c r="L31" s="853"/>
      <c r="M31" s="853"/>
      <c r="N31" s="853"/>
      <c r="O31" s="853"/>
      <c r="P31" s="853"/>
      <c r="Q31" s="853"/>
      <c r="R31" s="853"/>
      <c r="S31" s="853"/>
      <c r="T31" s="853"/>
      <c r="U31" s="853"/>
      <c r="V31" s="853"/>
      <c r="W31" s="853"/>
      <c r="X31" s="853"/>
      <c r="Y31" s="853"/>
      <c r="Z31" s="853"/>
      <c r="AA31" s="853"/>
      <c r="AB31" s="853"/>
      <c r="AC31" s="853"/>
      <c r="AD31" s="853"/>
      <c r="AE31" s="853"/>
      <c r="AF31" s="853"/>
      <c r="AG31" s="853"/>
      <c r="AH31" s="853"/>
      <c r="AI31" s="853"/>
      <c r="AJ31" s="853"/>
      <c r="AK31" s="853"/>
      <c r="AL31" s="853"/>
      <c r="AM31" s="853"/>
      <c r="AN31" s="853"/>
      <c r="AO31" s="853"/>
      <c r="AP31" s="853"/>
      <c r="AQ31" s="853"/>
      <c r="AR31" s="853"/>
      <c r="AS31" s="853"/>
      <c r="AT31" s="853"/>
      <c r="AU31" s="853"/>
      <c r="AV31" s="853"/>
      <c r="AW31" s="853"/>
      <c r="AX31" s="471"/>
      <c r="AY31" s="471"/>
      <c r="AZ31" s="471"/>
      <c r="BA31" s="471"/>
      <c r="BB31" s="471"/>
      <c r="BC31" s="471"/>
      <c r="BD31" s="471"/>
      <c r="BE31" s="471"/>
      <c r="BF31" s="471"/>
      <c r="BG31" s="471"/>
      <c r="BH31" s="471"/>
    </row>
    <row r="32" spans="2:60" s="324" customFormat="1" ht="43.5" customHeight="1">
      <c r="B32" s="858" t="s">
        <v>1193</v>
      </c>
      <c r="C32" s="858"/>
      <c r="D32" s="858"/>
      <c r="E32" s="858"/>
      <c r="F32" s="858"/>
      <c r="G32" s="858"/>
      <c r="H32" s="858"/>
      <c r="I32" s="858"/>
      <c r="J32" s="858"/>
      <c r="K32" s="858"/>
      <c r="L32" s="858"/>
      <c r="M32" s="858"/>
      <c r="N32" s="858"/>
      <c r="O32" s="858"/>
      <c r="P32" s="858"/>
      <c r="Q32" s="858"/>
      <c r="R32" s="858"/>
      <c r="S32" s="858"/>
      <c r="T32" s="858"/>
      <c r="U32" s="858"/>
      <c r="V32" s="858"/>
      <c r="W32" s="858"/>
      <c r="X32" s="858"/>
      <c r="Y32" s="858"/>
      <c r="Z32" s="858"/>
      <c r="AA32" s="858"/>
      <c r="AB32" s="858"/>
      <c r="AC32" s="858"/>
      <c r="AD32" s="858"/>
      <c r="AE32" s="858"/>
      <c r="AF32" s="858"/>
      <c r="AG32" s="858"/>
      <c r="AH32" s="858"/>
      <c r="AI32" s="858"/>
      <c r="AJ32" s="858"/>
      <c r="AK32" s="858"/>
      <c r="AL32" s="858"/>
      <c r="AM32" s="858"/>
      <c r="AN32" s="858"/>
      <c r="AO32" s="858"/>
      <c r="AP32" s="858"/>
      <c r="AQ32" s="858"/>
      <c r="AR32" s="858"/>
      <c r="AS32" s="858"/>
      <c r="AT32" s="858"/>
      <c r="AU32" s="858"/>
      <c r="AV32" s="858"/>
      <c r="AW32" s="858"/>
      <c r="AX32" s="471"/>
      <c r="AY32" s="471"/>
      <c r="AZ32" s="471"/>
      <c r="BA32" s="471"/>
      <c r="BB32" s="471"/>
      <c r="BC32" s="471"/>
      <c r="BD32" s="471"/>
      <c r="BE32" s="471"/>
      <c r="BF32" s="471"/>
      <c r="BG32" s="471"/>
      <c r="BH32" s="471"/>
    </row>
    <row r="33" spans="2:60" s="324" customFormat="1" ht="43.5" customHeight="1">
      <c r="B33" s="858"/>
      <c r="C33" s="858"/>
      <c r="D33" s="858"/>
      <c r="E33" s="858"/>
      <c r="F33" s="858"/>
      <c r="G33" s="858"/>
      <c r="H33" s="858"/>
      <c r="I33" s="858"/>
      <c r="J33" s="858"/>
      <c r="K33" s="858"/>
      <c r="L33" s="858"/>
      <c r="M33" s="858"/>
      <c r="N33" s="858"/>
      <c r="O33" s="858"/>
      <c r="P33" s="858"/>
      <c r="Q33" s="858"/>
      <c r="R33" s="858"/>
      <c r="S33" s="858"/>
      <c r="T33" s="858"/>
      <c r="U33" s="858"/>
      <c r="V33" s="858"/>
      <c r="W33" s="858"/>
      <c r="X33" s="858"/>
      <c r="Y33" s="858"/>
      <c r="Z33" s="858"/>
      <c r="AA33" s="858"/>
      <c r="AB33" s="858"/>
      <c r="AC33" s="858"/>
      <c r="AD33" s="858"/>
      <c r="AE33" s="858"/>
      <c r="AF33" s="858"/>
      <c r="AG33" s="858"/>
      <c r="AH33" s="858"/>
      <c r="AI33" s="858"/>
      <c r="AJ33" s="858"/>
      <c r="AK33" s="858"/>
      <c r="AL33" s="858"/>
      <c r="AM33" s="858"/>
      <c r="AN33" s="858"/>
      <c r="AO33" s="858"/>
      <c r="AP33" s="858"/>
      <c r="AQ33" s="858"/>
      <c r="AR33" s="858"/>
      <c r="AS33" s="858"/>
      <c r="AT33" s="858"/>
      <c r="AU33" s="858"/>
      <c r="AV33" s="858"/>
      <c r="AW33" s="858"/>
      <c r="AX33" s="471"/>
      <c r="AY33" s="471"/>
      <c r="AZ33" s="471"/>
      <c r="BA33" s="471"/>
      <c r="BB33" s="471"/>
      <c r="BC33" s="471"/>
      <c r="BD33" s="471"/>
      <c r="BE33" s="471"/>
      <c r="BF33" s="471"/>
      <c r="BG33" s="471"/>
      <c r="BH33" s="471"/>
    </row>
    <row r="34" spans="2:60" ht="39.75" customHeight="1">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69"/>
      <c r="AW34" s="469"/>
      <c r="AX34" s="452"/>
      <c r="AY34" s="452"/>
      <c r="AZ34" s="452"/>
      <c r="BA34" s="452"/>
      <c r="BB34" s="452"/>
      <c r="BC34" s="452"/>
      <c r="BD34" s="452"/>
      <c r="BE34" s="452"/>
      <c r="BF34" s="452"/>
      <c r="BG34" s="452"/>
      <c r="BH34" s="452"/>
    </row>
    <row r="35" spans="2:60" ht="39.75" customHeight="1">
      <c r="B35" s="469"/>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52"/>
      <c r="AY35" s="452"/>
      <c r="AZ35" s="452"/>
      <c r="BA35" s="452"/>
      <c r="BB35" s="452"/>
      <c r="BC35" s="452"/>
      <c r="BD35" s="452"/>
      <c r="BE35" s="452"/>
      <c r="BF35" s="452"/>
      <c r="BG35" s="452"/>
      <c r="BH35" s="452"/>
    </row>
    <row r="36" spans="2:60">
      <c r="B36" s="858"/>
      <c r="C36" s="858"/>
      <c r="D36" s="858"/>
      <c r="E36" s="858"/>
      <c r="F36" s="858"/>
      <c r="G36" s="858"/>
      <c r="H36" s="858"/>
      <c r="I36" s="858"/>
      <c r="J36" s="858"/>
      <c r="K36" s="858"/>
      <c r="L36" s="858"/>
      <c r="M36" s="858"/>
      <c r="N36" s="858"/>
      <c r="O36" s="858"/>
      <c r="P36" s="858"/>
      <c r="Q36" s="858"/>
      <c r="R36" s="858"/>
      <c r="S36" s="858"/>
      <c r="T36" s="858"/>
      <c r="U36" s="858"/>
      <c r="V36" s="858"/>
      <c r="W36" s="858"/>
      <c r="X36" s="858"/>
      <c r="Y36" s="858"/>
      <c r="Z36" s="858"/>
      <c r="AA36" s="858"/>
      <c r="AB36" s="858"/>
      <c r="AC36" s="858"/>
      <c r="AD36" s="858"/>
      <c r="AE36" s="858"/>
      <c r="AF36" s="858"/>
      <c r="AG36" s="858"/>
      <c r="AH36" s="858"/>
      <c r="AI36" s="858"/>
      <c r="AJ36" s="858"/>
      <c r="AK36" s="858"/>
      <c r="AL36" s="858"/>
      <c r="AM36" s="858"/>
      <c r="AN36" s="858"/>
      <c r="AO36" s="858"/>
      <c r="AP36" s="858"/>
      <c r="AQ36" s="858"/>
      <c r="AR36" s="858"/>
      <c r="AS36" s="858"/>
      <c r="AT36" s="858"/>
      <c r="AU36" s="858"/>
      <c r="AV36" s="858"/>
      <c r="AW36" s="858"/>
    </row>
    <row r="37" spans="2:60">
      <c r="U37" s="49"/>
      <c r="V37" s="49"/>
    </row>
    <row r="38" spans="2:60">
      <c r="U38" s="49"/>
      <c r="V38" s="49"/>
    </row>
    <row r="39" spans="2:60">
      <c r="U39" s="49"/>
      <c r="V39" s="49"/>
    </row>
  </sheetData>
  <mergeCells count="41">
    <mergeCell ref="B36:AW36"/>
    <mergeCell ref="B30:AW30"/>
    <mergeCell ref="B33:AW33"/>
    <mergeCell ref="B32:AW32"/>
    <mergeCell ref="B31:AW31"/>
    <mergeCell ref="AX29:BH29"/>
    <mergeCell ref="B25:AW25"/>
    <mergeCell ref="B29:AW29"/>
    <mergeCell ref="B26:AW26"/>
    <mergeCell ref="B28:AW28"/>
    <mergeCell ref="B27:AW27"/>
    <mergeCell ref="AS7:AS8"/>
    <mergeCell ref="Y7:Y8"/>
    <mergeCell ref="AX24:BH24"/>
    <mergeCell ref="AX22:BH22"/>
    <mergeCell ref="B24:AW24"/>
    <mergeCell ref="B22:AW22"/>
    <mergeCell ref="B23:AW23"/>
    <mergeCell ref="AU7:AU8"/>
    <mergeCell ref="AW7:AW8"/>
    <mergeCell ref="Y17:AQ19"/>
    <mergeCell ref="AA7:AA8"/>
    <mergeCell ref="AC7:AI7"/>
    <mergeCell ref="AK7:AK8"/>
    <mergeCell ref="AM7:AM8"/>
    <mergeCell ref="AO7:AO8"/>
    <mergeCell ref="AQ7:AQ8"/>
    <mergeCell ref="B7:B8"/>
    <mergeCell ref="D7:D8"/>
    <mergeCell ref="F7:L7"/>
    <mergeCell ref="O7:U7"/>
    <mergeCell ref="W7:W8"/>
    <mergeCell ref="D6:W6"/>
    <mergeCell ref="Y6:AK6"/>
    <mergeCell ref="AM6:AS6"/>
    <mergeCell ref="AU6:AW6"/>
    <mergeCell ref="A1:AW1"/>
    <mergeCell ref="A2:AW2"/>
    <mergeCell ref="A3:AW3"/>
    <mergeCell ref="A4:AW4"/>
    <mergeCell ref="AU5:AW5"/>
  </mergeCells>
  <pageMargins left="0.70866141732283472" right="0.70866141732283472" top="0.74803149606299213" bottom="0.74803149606299213" header="0.31496062992125984" footer="0.31496062992125984"/>
  <pageSetup scale="68" firstPageNumber="22" orientation="landscape" useFirstPageNumber="1" r:id="rId1"/>
  <headerFooter>
    <oddFooter>&amp;C&amp;"B Nazanin,Regular"&amp;14&amp;P</oddFooter>
  </headerFooter>
  <rowBreaks count="1" manualBreakCount="1">
    <brk id="32" max="4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4"/>
  <sheetViews>
    <sheetView view="pageBreakPreview" topLeftCell="D1" zoomScale="25" zoomScaleNormal="40" zoomScaleSheetLayoutView="25" zoomScalePageLayoutView="25" workbookViewId="0">
      <selection activeCell="H32" sqref="H32"/>
    </sheetView>
  </sheetViews>
  <sheetFormatPr defaultColWidth="9.140625" defaultRowHeight="39.75"/>
  <cols>
    <col min="1" max="1" width="84.5703125" style="389" customWidth="1"/>
    <col min="2" max="2" width="70.140625" style="389" customWidth="1"/>
    <col min="3" max="3" width="75.42578125" style="389" customWidth="1"/>
    <col min="4" max="4" width="21.28515625" style="389" bestFit="1" customWidth="1"/>
    <col min="5" max="6" width="75.42578125" style="389" customWidth="1"/>
    <col min="7" max="7" width="67.42578125" style="389" customWidth="1"/>
    <col min="8" max="8" width="127.42578125" style="389" customWidth="1"/>
    <col min="9" max="9" width="49.85546875" style="389" customWidth="1"/>
    <col min="10" max="16384" width="9.140625" style="389"/>
  </cols>
  <sheetData>
    <row r="1" spans="1:11" ht="77.25" customHeight="1">
      <c r="A1" s="867" t="s">
        <v>649</v>
      </c>
      <c r="B1" s="867"/>
      <c r="C1" s="867"/>
      <c r="D1" s="867"/>
      <c r="E1" s="867"/>
      <c r="F1" s="867"/>
      <c r="G1" s="867"/>
      <c r="H1" s="867"/>
      <c r="I1" s="55"/>
      <c r="J1" s="55"/>
    </row>
    <row r="2" spans="1:11" ht="77.25" customHeight="1">
      <c r="A2" s="867" t="s">
        <v>1078</v>
      </c>
      <c r="B2" s="867"/>
      <c r="C2" s="867"/>
      <c r="D2" s="867"/>
      <c r="E2" s="867"/>
      <c r="F2" s="867"/>
      <c r="G2" s="867"/>
      <c r="H2" s="867"/>
      <c r="I2" s="55"/>
      <c r="J2" s="55"/>
    </row>
    <row r="3" spans="1:11" ht="77.25" customHeight="1">
      <c r="A3" s="867" t="s">
        <v>1079</v>
      </c>
      <c r="B3" s="867"/>
      <c r="C3" s="867"/>
      <c r="D3" s="867"/>
      <c r="E3" s="867"/>
      <c r="F3" s="867"/>
      <c r="G3" s="867"/>
      <c r="H3" s="867"/>
      <c r="I3" s="55"/>
      <c r="J3" s="55"/>
    </row>
    <row r="4" spans="1:11" ht="77.25" customHeight="1">
      <c r="A4" s="872" t="s">
        <v>1194</v>
      </c>
      <c r="B4" s="872"/>
      <c r="C4" s="872"/>
      <c r="D4" s="872"/>
      <c r="E4" s="872"/>
      <c r="F4" s="872"/>
      <c r="G4" s="872"/>
      <c r="H4" s="872"/>
      <c r="I4" s="55"/>
      <c r="J4" s="55"/>
    </row>
    <row r="5" spans="1:11" ht="174.75" customHeight="1">
      <c r="A5" s="868" t="s">
        <v>1048</v>
      </c>
      <c r="B5" s="869"/>
      <c r="C5" s="863" t="s">
        <v>1049</v>
      </c>
      <c r="D5" s="864"/>
      <c r="E5" s="870" t="s">
        <v>1050</v>
      </c>
      <c r="F5" s="868" t="s">
        <v>1051</v>
      </c>
      <c r="G5" s="869"/>
      <c r="H5" s="870" t="s">
        <v>961</v>
      </c>
      <c r="I5" s="520"/>
      <c r="J5" s="521"/>
      <c r="K5" s="521"/>
    </row>
    <row r="6" spans="1:11" ht="78">
      <c r="A6" s="580">
        <v>1401</v>
      </c>
      <c r="B6" s="580">
        <v>1402</v>
      </c>
      <c r="C6" s="865"/>
      <c r="D6" s="866"/>
      <c r="E6" s="871"/>
      <c r="F6" s="581">
        <v>1401</v>
      </c>
      <c r="G6" s="581">
        <v>1402</v>
      </c>
      <c r="H6" s="871"/>
      <c r="I6" s="520"/>
      <c r="J6" s="521"/>
      <c r="K6" s="521"/>
    </row>
    <row r="7" spans="1:11" ht="234">
      <c r="A7" s="582">
        <v>2023845190939</v>
      </c>
      <c r="B7" s="582">
        <v>2156269980449</v>
      </c>
      <c r="C7" s="859">
        <v>1000000</v>
      </c>
      <c r="D7" s="860"/>
      <c r="E7" s="617">
        <v>1404</v>
      </c>
      <c r="F7" s="618">
        <v>0.98</v>
      </c>
      <c r="G7" s="618">
        <v>0.99</v>
      </c>
      <c r="H7" s="580" t="s">
        <v>962</v>
      </c>
      <c r="I7" s="391"/>
      <c r="J7" s="391"/>
      <c r="K7" s="392"/>
    </row>
    <row r="8" spans="1:11" ht="121.5">
      <c r="A8" s="582">
        <v>210916819871</v>
      </c>
      <c r="B8" s="582">
        <v>217529226331</v>
      </c>
      <c r="C8" s="859">
        <v>900000</v>
      </c>
      <c r="D8" s="860"/>
      <c r="E8" s="617">
        <v>1402</v>
      </c>
      <c r="F8" s="618">
        <v>0.4</v>
      </c>
      <c r="G8" s="618">
        <v>0.4</v>
      </c>
      <c r="H8" s="580" t="s">
        <v>963</v>
      </c>
      <c r="I8" s="391"/>
      <c r="J8" s="388"/>
    </row>
    <row r="9" spans="1:11" ht="121.5">
      <c r="A9" s="582">
        <v>139320907210</v>
      </c>
      <c r="B9" s="582">
        <v>152204876051</v>
      </c>
      <c r="C9" s="859">
        <v>500000</v>
      </c>
      <c r="D9" s="860"/>
      <c r="E9" s="617">
        <v>1405</v>
      </c>
      <c r="F9" s="618">
        <v>0.65</v>
      </c>
      <c r="G9" s="618">
        <v>0.65</v>
      </c>
      <c r="H9" s="580" t="s">
        <v>964</v>
      </c>
      <c r="I9" s="391"/>
      <c r="J9" s="388"/>
    </row>
    <row r="10" spans="1:11" ht="156">
      <c r="A10" s="582">
        <v>10961781692</v>
      </c>
      <c r="B10" s="582">
        <v>10961781692</v>
      </c>
      <c r="C10" s="859">
        <v>10000</v>
      </c>
      <c r="D10" s="860"/>
      <c r="E10" s="617">
        <v>1403</v>
      </c>
      <c r="F10" s="618">
        <v>0.85</v>
      </c>
      <c r="G10" s="618">
        <v>0.98</v>
      </c>
      <c r="H10" s="581" t="s">
        <v>965</v>
      </c>
      <c r="I10" s="391"/>
      <c r="J10" s="388"/>
    </row>
    <row r="11" spans="1:11" ht="121.5">
      <c r="A11" s="582">
        <v>435418441505</v>
      </c>
      <c r="B11" s="582">
        <v>0</v>
      </c>
      <c r="C11" s="859" t="s">
        <v>1052</v>
      </c>
      <c r="D11" s="859"/>
      <c r="E11" s="860"/>
      <c r="F11" s="618">
        <v>0.98</v>
      </c>
      <c r="G11" s="618">
        <v>1</v>
      </c>
      <c r="H11" s="580" t="s">
        <v>966</v>
      </c>
      <c r="I11" s="391"/>
      <c r="J11" s="390"/>
    </row>
    <row r="12" spans="1:11" ht="234">
      <c r="A12" s="582">
        <v>458405643497</v>
      </c>
      <c r="B12" s="582">
        <v>504210148060</v>
      </c>
      <c r="C12" s="859">
        <v>2600000</v>
      </c>
      <c r="D12" s="860"/>
      <c r="E12" s="619">
        <v>1405</v>
      </c>
      <c r="F12" s="618">
        <v>0.3</v>
      </c>
      <c r="G12" s="618">
        <v>0.3</v>
      </c>
      <c r="H12" s="580" t="s">
        <v>967</v>
      </c>
      <c r="I12" s="391"/>
      <c r="J12" s="388"/>
    </row>
    <row r="13" spans="1:11" ht="156">
      <c r="A13" s="582">
        <v>59172127591</v>
      </c>
      <c r="B13" s="582">
        <v>111719014023</v>
      </c>
      <c r="C13" s="859">
        <v>50000</v>
      </c>
      <c r="D13" s="860"/>
      <c r="E13" s="617">
        <v>1403</v>
      </c>
      <c r="F13" s="618">
        <v>0.62</v>
      </c>
      <c r="G13" s="618">
        <v>0.92</v>
      </c>
      <c r="H13" s="581" t="s">
        <v>968</v>
      </c>
      <c r="I13" s="391"/>
      <c r="J13" s="388"/>
    </row>
    <row r="14" spans="1:11" ht="234">
      <c r="A14" s="582">
        <v>27972915798</v>
      </c>
      <c r="B14" s="582">
        <v>81057946607</v>
      </c>
      <c r="C14" s="859">
        <v>20000</v>
      </c>
      <c r="D14" s="860"/>
      <c r="E14" s="617">
        <v>1403</v>
      </c>
      <c r="F14" s="618">
        <v>0.78</v>
      </c>
      <c r="G14" s="618">
        <v>0.92</v>
      </c>
      <c r="H14" s="581" t="s">
        <v>969</v>
      </c>
      <c r="I14" s="391"/>
      <c r="J14" s="388"/>
    </row>
    <row r="15" spans="1:11" ht="121.5">
      <c r="A15" s="582">
        <v>81247991339</v>
      </c>
      <c r="B15" s="582">
        <v>189167236660</v>
      </c>
      <c r="C15" s="859">
        <v>50000</v>
      </c>
      <c r="D15" s="860"/>
      <c r="E15" s="617">
        <v>1403</v>
      </c>
      <c r="F15" s="618">
        <v>0.6</v>
      </c>
      <c r="G15" s="618">
        <v>0.97</v>
      </c>
      <c r="H15" s="581" t="s">
        <v>970</v>
      </c>
      <c r="I15" s="391"/>
      <c r="J15" s="388"/>
    </row>
    <row r="16" spans="1:11" ht="156">
      <c r="A16" s="582">
        <v>32785461849</v>
      </c>
      <c r="B16" s="582">
        <v>0</v>
      </c>
      <c r="C16" s="859" t="s">
        <v>1052</v>
      </c>
      <c r="D16" s="859"/>
      <c r="E16" s="860"/>
      <c r="F16" s="618">
        <v>0.98</v>
      </c>
      <c r="G16" s="618">
        <v>1</v>
      </c>
      <c r="H16" s="581" t="s">
        <v>971</v>
      </c>
      <c r="I16" s="391"/>
      <c r="J16" s="388"/>
    </row>
    <row r="17" spans="1:10" ht="156">
      <c r="A17" s="582">
        <v>22079116250</v>
      </c>
      <c r="B17" s="582">
        <v>0</v>
      </c>
      <c r="C17" s="859" t="s">
        <v>1052</v>
      </c>
      <c r="D17" s="859"/>
      <c r="E17" s="860"/>
      <c r="F17" s="618">
        <v>0.98</v>
      </c>
      <c r="G17" s="618">
        <v>1</v>
      </c>
      <c r="H17" s="581" t="s">
        <v>972</v>
      </c>
      <c r="I17" s="391"/>
      <c r="J17" s="388"/>
    </row>
    <row r="18" spans="1:10" ht="156">
      <c r="A18" s="582">
        <v>2514475656</v>
      </c>
      <c r="B18" s="582">
        <v>6404278320</v>
      </c>
      <c r="C18" s="861">
        <v>500</v>
      </c>
      <c r="D18" s="862"/>
      <c r="E18" s="620">
        <v>1403</v>
      </c>
      <c r="F18" s="618">
        <v>0.65</v>
      </c>
      <c r="G18" s="618">
        <v>0.98</v>
      </c>
      <c r="H18" s="581" t="s">
        <v>973</v>
      </c>
      <c r="I18" s="391"/>
      <c r="J18" s="388"/>
    </row>
    <row r="19" spans="1:10" ht="355.5">
      <c r="A19" s="582">
        <v>3693294000</v>
      </c>
      <c r="B19" s="582">
        <v>6378725000</v>
      </c>
      <c r="C19" s="861">
        <v>5000</v>
      </c>
      <c r="D19" s="862"/>
      <c r="E19" s="620">
        <v>1403</v>
      </c>
      <c r="F19" s="620"/>
      <c r="G19" s="617" t="s">
        <v>974</v>
      </c>
      <c r="H19" s="581" t="s">
        <v>975</v>
      </c>
      <c r="I19" s="391"/>
      <c r="J19" s="388"/>
    </row>
    <row r="20" spans="1:10" ht="156">
      <c r="A20" s="582">
        <v>5001206700</v>
      </c>
      <c r="B20" s="582">
        <v>5001206700</v>
      </c>
      <c r="C20" s="859">
        <v>450000</v>
      </c>
      <c r="D20" s="860"/>
      <c r="E20" s="617">
        <v>1405</v>
      </c>
      <c r="F20" s="618">
        <v>7.0000000000000007E-2</v>
      </c>
      <c r="G20" s="618">
        <v>7.0000000000000007E-2</v>
      </c>
      <c r="H20" s="580" t="s">
        <v>976</v>
      </c>
      <c r="I20" s="391"/>
      <c r="J20" s="388"/>
    </row>
    <row r="21" spans="1:10" ht="121.5">
      <c r="A21" s="582">
        <v>0</v>
      </c>
      <c r="B21" s="582">
        <v>27232112231</v>
      </c>
      <c r="C21" s="859">
        <v>250000</v>
      </c>
      <c r="D21" s="860"/>
      <c r="E21" s="617">
        <v>1404</v>
      </c>
      <c r="F21" s="618">
        <v>0.3</v>
      </c>
      <c r="G21" s="618">
        <v>0.32</v>
      </c>
      <c r="H21" s="581" t="s">
        <v>977</v>
      </c>
      <c r="I21" s="391"/>
    </row>
    <row r="22" spans="1:10" ht="121.5">
      <c r="A22" s="582">
        <v>95260990255</v>
      </c>
      <c r="B22" s="582">
        <v>0</v>
      </c>
      <c r="C22" s="859" t="s">
        <v>1052</v>
      </c>
      <c r="D22" s="859"/>
      <c r="E22" s="860"/>
      <c r="F22" s="618">
        <v>0.95</v>
      </c>
      <c r="G22" s="618">
        <v>1</v>
      </c>
      <c r="H22" s="581" t="s">
        <v>978</v>
      </c>
      <c r="I22" s="391"/>
    </row>
    <row r="23" spans="1:10" ht="156">
      <c r="A23" s="582">
        <v>29090318246</v>
      </c>
      <c r="B23" s="582">
        <v>0</v>
      </c>
      <c r="C23" s="859" t="s">
        <v>1052</v>
      </c>
      <c r="D23" s="859"/>
      <c r="E23" s="860"/>
      <c r="F23" s="621">
        <v>0.95</v>
      </c>
      <c r="G23" s="621">
        <v>1</v>
      </c>
      <c r="H23" s="581" t="s">
        <v>979</v>
      </c>
      <c r="I23" s="391"/>
    </row>
    <row r="24" spans="1:10" ht="156">
      <c r="A24" s="582"/>
      <c r="B24" s="582">
        <v>8969141420</v>
      </c>
      <c r="C24" s="859">
        <v>2600000</v>
      </c>
      <c r="D24" s="860"/>
      <c r="E24" s="622">
        <v>1405</v>
      </c>
      <c r="F24" s="622">
        <v>0</v>
      </c>
      <c r="G24" s="621">
        <v>0.05</v>
      </c>
      <c r="H24" s="581" t="s">
        <v>980</v>
      </c>
      <c r="I24" s="391"/>
    </row>
    <row r="25" spans="1:10" ht="121.5">
      <c r="A25" s="582">
        <v>0</v>
      </c>
      <c r="B25" s="582">
        <v>0</v>
      </c>
      <c r="C25" s="859" t="s">
        <v>1053</v>
      </c>
      <c r="D25" s="859"/>
      <c r="E25" s="860"/>
      <c r="F25" s="622">
        <v>0</v>
      </c>
      <c r="G25" s="621">
        <v>0.85</v>
      </c>
      <c r="H25" s="581" t="s">
        <v>1054</v>
      </c>
      <c r="I25" s="391"/>
    </row>
    <row r="26" spans="1:10" ht="121.5">
      <c r="A26" s="582">
        <v>0</v>
      </c>
      <c r="B26" s="582">
        <v>0</v>
      </c>
      <c r="C26" s="859" t="s">
        <v>1053</v>
      </c>
      <c r="D26" s="859"/>
      <c r="E26" s="860"/>
      <c r="F26" s="622">
        <v>0</v>
      </c>
      <c r="G26" s="621">
        <v>0.8</v>
      </c>
      <c r="H26" s="581" t="s">
        <v>1055</v>
      </c>
      <c r="I26" s="391"/>
    </row>
    <row r="27" spans="1:10" ht="121.5">
      <c r="A27" s="582"/>
      <c r="B27" s="582">
        <v>801200000</v>
      </c>
      <c r="C27" s="859">
        <v>10000</v>
      </c>
      <c r="D27" s="860"/>
      <c r="E27" s="622">
        <v>1403</v>
      </c>
      <c r="F27" s="622">
        <v>0</v>
      </c>
      <c r="G27" s="621">
        <v>0.55000000000000004</v>
      </c>
      <c r="H27" s="581" t="s">
        <v>981</v>
      </c>
      <c r="I27" s="391"/>
    </row>
    <row r="28" spans="1:10" ht="121.5">
      <c r="A28" s="582">
        <f>SUM(A7:A27)</f>
        <v>3637686682398</v>
      </c>
      <c r="B28" s="582">
        <f>SUM(B7:B27)</f>
        <v>3477906873544</v>
      </c>
      <c r="C28" s="623"/>
      <c r="D28" s="623"/>
      <c r="E28" s="623"/>
      <c r="F28" s="623"/>
      <c r="G28" s="623"/>
      <c r="H28" s="583"/>
    </row>
    <row r="29" spans="1:10" ht="174.75" customHeight="1"/>
    <row r="30" spans="1:10" ht="174.75" customHeight="1">
      <c r="A30" s="873" t="s">
        <v>1195</v>
      </c>
      <c r="B30" s="873"/>
      <c r="C30" s="873"/>
      <c r="D30" s="873"/>
      <c r="E30" s="873"/>
      <c r="F30" s="873"/>
      <c r="G30" s="873"/>
      <c r="H30" s="873"/>
      <c r="I30" s="572"/>
    </row>
    <row r="31" spans="1:10" ht="174.75" customHeight="1">
      <c r="A31" s="874">
        <v>1401</v>
      </c>
      <c r="B31" s="874"/>
      <c r="C31" s="874"/>
      <c r="D31" s="874"/>
      <c r="E31" s="572"/>
      <c r="F31" s="874">
        <v>1402</v>
      </c>
      <c r="G31" s="874"/>
      <c r="H31" s="874"/>
      <c r="I31" s="874"/>
    </row>
    <row r="32" spans="1:10" ht="174.75" customHeight="1">
      <c r="A32" s="588" t="s">
        <v>1056</v>
      </c>
      <c r="B32" s="588" t="s">
        <v>1057</v>
      </c>
      <c r="C32" s="588" t="s">
        <v>1058</v>
      </c>
      <c r="D32" s="588" t="s">
        <v>1059</v>
      </c>
      <c r="E32" s="572"/>
      <c r="F32" s="588" t="s">
        <v>1056</v>
      </c>
      <c r="G32" s="588" t="s">
        <v>1057</v>
      </c>
      <c r="H32" s="588" t="s">
        <v>1058</v>
      </c>
      <c r="I32" s="588" t="s">
        <v>1059</v>
      </c>
    </row>
    <row r="33" spans="1:9" ht="174.75" customHeight="1" thickBot="1">
      <c r="A33" s="573">
        <v>133</v>
      </c>
      <c r="B33" s="573">
        <v>51</v>
      </c>
      <c r="C33" s="573">
        <v>130</v>
      </c>
      <c r="D33" s="573">
        <v>0</v>
      </c>
      <c r="E33" s="572"/>
      <c r="F33" s="573">
        <v>138</v>
      </c>
      <c r="G33" s="573">
        <v>46</v>
      </c>
      <c r="H33" s="573">
        <v>130</v>
      </c>
      <c r="I33" s="573">
        <v>0</v>
      </c>
    </row>
    <row r="34" spans="1:9" ht="40.5" thickTop="1"/>
  </sheetData>
  <autoFilter ref="A30:I33">
    <filterColumn colId="0" showButton="0"/>
    <filterColumn colId="1" showButton="0"/>
    <filterColumn colId="2" showButton="0"/>
    <filterColumn colId="3" showButton="0"/>
    <filterColumn colId="4" showButton="0"/>
    <filterColumn colId="5" showButton="0"/>
    <filterColumn colId="6" showButton="0"/>
  </autoFilter>
  <mergeCells count="33">
    <mergeCell ref="C25:E25"/>
    <mergeCell ref="C26:E26"/>
    <mergeCell ref="C27:D27"/>
    <mergeCell ref="A30:H30"/>
    <mergeCell ref="A31:D31"/>
    <mergeCell ref="F31:I31"/>
    <mergeCell ref="C7:D7"/>
    <mergeCell ref="C8:D8"/>
    <mergeCell ref="C9:D9"/>
    <mergeCell ref="C5:D6"/>
    <mergeCell ref="A1:H1"/>
    <mergeCell ref="A5:B5"/>
    <mergeCell ref="E5:E6"/>
    <mergeCell ref="F5:G5"/>
    <mergeCell ref="H5:H6"/>
    <mergeCell ref="A2:H2"/>
    <mergeCell ref="A3:H3"/>
    <mergeCell ref="A4:H4"/>
    <mergeCell ref="C10:D10"/>
    <mergeCell ref="C11:E11"/>
    <mergeCell ref="C12:D12"/>
    <mergeCell ref="C13:D13"/>
    <mergeCell ref="C14:D14"/>
    <mergeCell ref="C15:D15"/>
    <mergeCell ref="C16:E16"/>
    <mergeCell ref="C17:E17"/>
    <mergeCell ref="C18:D18"/>
    <mergeCell ref="C19:D19"/>
    <mergeCell ref="C20:D20"/>
    <mergeCell ref="C21:D21"/>
    <mergeCell ref="C22:E22"/>
    <mergeCell ref="C23:E23"/>
    <mergeCell ref="C24:D24"/>
  </mergeCells>
  <printOptions horizontalCentered="1" verticalCentered="1"/>
  <pageMargins left="0.70866141732283472" right="0.70866141732283472" top="0.74803149606299213" bottom="0.74803149606299213" header="0.31496062992125984" footer="0.31496062992125984"/>
  <pageSetup paperSize="9" scale="13" firstPageNumber="23" orientation="portrait" useFirstPageNumber="1" r:id="rId1"/>
  <headerFooter>
    <oddFooter>&amp;C&amp;"B Nazanin,Regular"&amp;72&amp;P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5"/>
  <sheetViews>
    <sheetView rightToLeft="1" view="pageBreakPreview" zoomScaleNormal="140" zoomScaleSheetLayoutView="100" zoomScalePageLayoutView="70" workbookViewId="0">
      <selection activeCell="A183" sqref="A1:XFD1048576"/>
    </sheetView>
  </sheetViews>
  <sheetFormatPr defaultColWidth="9" defaultRowHeight="19.5"/>
  <cols>
    <col min="1" max="1" width="0.85546875" style="5" customWidth="1"/>
    <col min="2" max="2" width="42.28515625" style="19" customWidth="1"/>
    <col min="3" max="3" width="18.140625" style="19" customWidth="1"/>
    <col min="4" max="4" width="0.5703125" style="5" customWidth="1"/>
    <col min="5" max="5" width="31.28515625" style="14" customWidth="1"/>
    <col min="6" max="6" width="0.7109375" style="14" hidden="1" customWidth="1"/>
    <col min="7" max="7" width="11.42578125" style="5" hidden="1" customWidth="1"/>
    <col min="8" max="8" width="0.7109375" style="5" hidden="1" customWidth="1"/>
    <col min="9" max="9" width="11.42578125" style="14" hidden="1" customWidth="1"/>
    <col min="10" max="10" width="0.5703125" style="5" customWidth="1"/>
    <col min="11" max="11" width="25.140625" style="15" customWidth="1"/>
    <col min="12" max="12" width="1" style="5" customWidth="1"/>
    <col min="13" max="13" width="3.140625" style="5" customWidth="1"/>
    <col min="14" max="14" width="17.140625" style="5" customWidth="1"/>
    <col min="15" max="15" width="13.7109375" style="5" bestFit="1" customWidth="1"/>
    <col min="16" max="17" width="9" style="5"/>
    <col min="18" max="18" width="19.85546875" style="5" customWidth="1"/>
    <col min="19" max="16384" width="9" style="5"/>
  </cols>
  <sheetData>
    <row r="1" spans="1:16" ht="20.25">
      <c r="A1" s="765" t="str">
        <f>[5]مفروضات!$C$1</f>
        <v>دانشگاه علوم پزشکی و خدمات بهداشتی درمانی سمنان</v>
      </c>
      <c r="B1" s="766"/>
      <c r="C1" s="766"/>
      <c r="D1" s="766"/>
      <c r="E1" s="766"/>
      <c r="F1" s="766"/>
      <c r="G1" s="766"/>
      <c r="H1" s="766"/>
      <c r="I1" s="766"/>
      <c r="J1" s="766"/>
      <c r="K1" s="766"/>
      <c r="L1" s="81"/>
      <c r="M1" s="4"/>
      <c r="N1" s="4"/>
      <c r="O1" s="4"/>
    </row>
    <row r="2" spans="1:16" s="26" customFormat="1" ht="21">
      <c r="B2" s="809" t="s">
        <v>33</v>
      </c>
      <c r="C2" s="809"/>
      <c r="D2" s="809"/>
      <c r="E2" s="809"/>
      <c r="F2" s="809"/>
      <c r="G2" s="809"/>
      <c r="H2" s="809"/>
      <c r="I2" s="809"/>
      <c r="J2" s="809"/>
      <c r="K2" s="809"/>
      <c r="L2" s="809"/>
      <c r="M2" s="27"/>
    </row>
    <row r="3" spans="1:16" s="1" customFormat="1" ht="21.75">
      <c r="A3" s="26"/>
      <c r="B3" s="809" t="str">
        <f>[5]مفروضات!$C$7</f>
        <v>سال مالي منتهي به 29 اسفند ماه 1402</v>
      </c>
      <c r="C3" s="809"/>
      <c r="D3" s="809"/>
      <c r="E3" s="809"/>
      <c r="F3" s="809"/>
      <c r="G3" s="809"/>
      <c r="H3" s="809"/>
      <c r="I3" s="809"/>
      <c r="J3" s="809"/>
      <c r="K3" s="809"/>
      <c r="L3" s="809"/>
      <c r="M3" s="27"/>
      <c r="N3" s="26"/>
      <c r="O3" s="26"/>
      <c r="P3" s="26"/>
    </row>
    <row r="4" spans="1:16" ht="6" customHeight="1">
      <c r="B4" s="8"/>
      <c r="C4" s="8"/>
      <c r="D4" s="9"/>
      <c r="E4" s="9"/>
      <c r="F4" s="9"/>
      <c r="G4" s="9"/>
      <c r="H4" s="9"/>
      <c r="I4" s="9"/>
      <c r="J4" s="9"/>
      <c r="K4" s="10"/>
      <c r="L4" s="9"/>
    </row>
    <row r="5" spans="1:16" ht="21">
      <c r="A5" s="6"/>
      <c r="B5" s="796" t="s">
        <v>1196</v>
      </c>
      <c r="C5" s="796"/>
      <c r="D5" s="796"/>
      <c r="E5" s="796"/>
      <c r="F5" s="796"/>
      <c r="G5" s="796"/>
      <c r="H5" s="796"/>
      <c r="I5" s="796"/>
      <c r="J5" s="796"/>
      <c r="K5" s="796"/>
      <c r="L5" s="6"/>
      <c r="M5" s="6"/>
      <c r="N5" s="6"/>
      <c r="O5" s="6"/>
    </row>
    <row r="6" spans="1:16" ht="21">
      <c r="C6" s="35"/>
      <c r="D6" s="35"/>
      <c r="E6" s="817">
        <f>[5]مفروضات!$C$3</f>
        <v>1402</v>
      </c>
      <c r="F6" s="817"/>
      <c r="G6" s="817"/>
      <c r="H6" s="817"/>
      <c r="I6" s="817"/>
      <c r="J6" s="33"/>
      <c r="K6" s="32">
        <f>[5]مفروضات!$C$4</f>
        <v>1401</v>
      </c>
      <c r="L6" s="18"/>
    </row>
    <row r="7" spans="1:16" ht="21">
      <c r="B7" s="46"/>
      <c r="C7" s="70" t="s">
        <v>116</v>
      </c>
      <c r="D7" s="44"/>
      <c r="E7" s="219" t="s">
        <v>18</v>
      </c>
      <c r="F7" s="53"/>
      <c r="G7" s="220" t="s">
        <v>19</v>
      </c>
      <c r="H7" s="31"/>
      <c r="I7" s="186" t="s">
        <v>24</v>
      </c>
      <c r="J7" s="2"/>
      <c r="K7" s="219" t="s">
        <v>18</v>
      </c>
    </row>
    <row r="8" spans="1:16" ht="18" customHeight="1">
      <c r="B8" s="63"/>
      <c r="C8" s="60"/>
      <c r="D8" s="55"/>
      <c r="E8" s="60" t="s">
        <v>70</v>
      </c>
      <c r="F8" s="31"/>
      <c r="G8" s="60" t="s">
        <v>70</v>
      </c>
      <c r="H8" s="31"/>
      <c r="I8" s="60" t="s">
        <v>70</v>
      </c>
      <c r="J8" s="2"/>
      <c r="K8" s="60" t="s">
        <v>70</v>
      </c>
    </row>
    <row r="9" spans="1:16" ht="18" customHeight="1">
      <c r="B9" s="232" t="s">
        <v>531</v>
      </c>
      <c r="C9" s="83" t="s">
        <v>1007</v>
      </c>
      <c r="D9" s="63"/>
      <c r="E9" s="317">
        <f>E22</f>
        <v>5285693828774</v>
      </c>
      <c r="F9" s="335"/>
      <c r="G9" s="135">
        <v>0</v>
      </c>
      <c r="H9" s="335"/>
      <c r="I9" s="317">
        <f>I22</f>
        <v>5285693828774</v>
      </c>
      <c r="J9" s="336"/>
      <c r="K9" s="317">
        <f>K22</f>
        <v>4467039720334</v>
      </c>
    </row>
    <row r="10" spans="1:16" ht="18" customHeight="1" thickBot="1">
      <c r="D10" s="19"/>
      <c r="E10" s="318">
        <f>SUM(E9:E9)</f>
        <v>5285693828774</v>
      </c>
      <c r="F10" s="337"/>
      <c r="G10" s="338">
        <v>0</v>
      </c>
      <c r="H10" s="337"/>
      <c r="I10" s="318">
        <f>SUM(I9:I9)</f>
        <v>5285693828774</v>
      </c>
      <c r="J10" s="339"/>
      <c r="K10" s="318">
        <f>SUM(K9:K9)</f>
        <v>4467039720334</v>
      </c>
    </row>
    <row r="11" spans="1:16" ht="18.75" customHeight="1" thickTop="1">
      <c r="A11" s="6"/>
      <c r="B11" s="879" t="s">
        <v>1197</v>
      </c>
      <c r="C11" s="879"/>
      <c r="D11" s="879"/>
      <c r="E11" s="879"/>
      <c r="F11" s="879"/>
      <c r="G11" s="879"/>
      <c r="H11" s="879"/>
      <c r="I11" s="879"/>
      <c r="J11" s="879"/>
      <c r="K11" s="879"/>
      <c r="L11" s="6"/>
      <c r="M11" s="6"/>
      <c r="N11" s="6"/>
      <c r="O11" s="6"/>
    </row>
    <row r="12" spans="1:16" ht="18.75" customHeight="1">
      <c r="B12" s="16"/>
      <c r="C12" s="59"/>
      <c r="D12" s="31"/>
      <c r="E12" s="876">
        <f>[5]مفروضات!$C$3</f>
        <v>1402</v>
      </c>
      <c r="F12" s="876"/>
      <c r="G12" s="876"/>
      <c r="H12" s="876"/>
      <c r="I12" s="876"/>
      <c r="J12" s="31"/>
      <c r="K12" s="32">
        <f>[5]مفروضات!$C$4</f>
        <v>1401</v>
      </c>
      <c r="L12" s="18"/>
    </row>
    <row r="13" spans="1:16" ht="18.75" customHeight="1">
      <c r="B13" s="3"/>
      <c r="C13" s="70" t="s">
        <v>116</v>
      </c>
      <c r="D13" s="1"/>
      <c r="E13" s="219" t="s">
        <v>18</v>
      </c>
      <c r="F13" s="2"/>
      <c r="G13" s="190" t="s">
        <v>19</v>
      </c>
      <c r="H13" s="2"/>
      <c r="I13" s="326" t="s">
        <v>24</v>
      </c>
      <c r="J13" s="31"/>
      <c r="K13" s="219" t="s">
        <v>18</v>
      </c>
    </row>
    <row r="14" spans="1:16" s="1" customFormat="1" ht="18.75" customHeight="1">
      <c r="E14" s="58" t="s">
        <v>103</v>
      </c>
      <c r="F14" s="58"/>
      <c r="G14" s="58" t="s">
        <v>104</v>
      </c>
      <c r="H14" s="58"/>
      <c r="I14" s="58" t="s">
        <v>70</v>
      </c>
      <c r="K14" s="325" t="s">
        <v>103</v>
      </c>
    </row>
    <row r="15" spans="1:16" s="1" customFormat="1" ht="18.75" customHeight="1">
      <c r="B15" s="3" t="s">
        <v>52</v>
      </c>
      <c r="C15" s="83" t="s">
        <v>1287</v>
      </c>
      <c r="E15" s="450">
        <f>E35</f>
        <v>2593993986028</v>
      </c>
      <c r="F15" s="450"/>
      <c r="G15" s="450">
        <v>0</v>
      </c>
      <c r="H15" s="450"/>
      <c r="I15" s="450">
        <f>E15</f>
        <v>2593993986028</v>
      </c>
      <c r="J15" s="433"/>
      <c r="K15" s="450">
        <f>K35</f>
        <v>2376861341898</v>
      </c>
    </row>
    <row r="16" spans="1:16" s="1" customFormat="1" ht="18.75" customHeight="1">
      <c r="B16" s="3" t="s">
        <v>0</v>
      </c>
      <c r="C16" s="83" t="s">
        <v>1288</v>
      </c>
      <c r="E16" s="450">
        <f>E199</f>
        <v>2427759430507</v>
      </c>
      <c r="F16" s="450"/>
      <c r="G16" s="450">
        <v>0</v>
      </c>
      <c r="H16" s="450"/>
      <c r="I16" s="450">
        <f>E16</f>
        <v>2427759430507</v>
      </c>
      <c r="J16" s="433"/>
      <c r="K16" s="450">
        <f>K199</f>
        <v>1752854282657</v>
      </c>
    </row>
    <row r="17" spans="2:11" s="1" customFormat="1" ht="18.75" customHeight="1">
      <c r="B17" s="3" t="s">
        <v>53</v>
      </c>
      <c r="C17" s="83" t="s">
        <v>1289</v>
      </c>
      <c r="E17" s="450">
        <f>E217</f>
        <v>177770735621</v>
      </c>
      <c r="F17" s="450"/>
      <c r="G17" s="450">
        <v>0</v>
      </c>
      <c r="H17" s="450"/>
      <c r="I17" s="450">
        <f>E17</f>
        <v>177770735621</v>
      </c>
      <c r="J17" s="442"/>
      <c r="K17" s="450">
        <f>K217</f>
        <v>256371909555</v>
      </c>
    </row>
    <row r="18" spans="2:11" s="1" customFormat="1" ht="18.75" customHeight="1">
      <c r="B18" s="67" t="s">
        <v>54</v>
      </c>
      <c r="C18" s="53"/>
      <c r="E18" s="450">
        <v>21898143654</v>
      </c>
      <c r="F18" s="450"/>
      <c r="G18" s="450">
        <v>0</v>
      </c>
      <c r="H18" s="450"/>
      <c r="I18" s="450">
        <f>E18</f>
        <v>21898143654</v>
      </c>
      <c r="J18" s="442"/>
      <c r="K18" s="450">
        <f>8782321443</f>
        <v>8782321443</v>
      </c>
    </row>
    <row r="19" spans="2:11" s="1" customFormat="1" ht="18.75" customHeight="1">
      <c r="B19" s="67" t="s">
        <v>907</v>
      </c>
      <c r="C19" s="53"/>
      <c r="E19" s="450">
        <v>64271532964</v>
      </c>
      <c r="F19" s="450"/>
      <c r="G19" s="450"/>
      <c r="H19" s="450"/>
      <c r="I19" s="450">
        <f>E19+G19</f>
        <v>64271532964</v>
      </c>
      <c r="J19" s="442"/>
      <c r="K19" s="450">
        <v>72169864781</v>
      </c>
    </row>
    <row r="20" spans="2:11" s="1" customFormat="1" ht="18.75" hidden="1" customHeight="1">
      <c r="B20" s="67" t="s">
        <v>492</v>
      </c>
      <c r="C20" s="53"/>
      <c r="E20" s="450" t="s">
        <v>455</v>
      </c>
      <c r="F20" s="450"/>
      <c r="G20" s="450" t="s">
        <v>455</v>
      </c>
      <c r="H20" s="450"/>
      <c r="I20" s="450" t="s">
        <v>455</v>
      </c>
      <c r="J20" s="442"/>
      <c r="K20" s="450" t="s">
        <v>455</v>
      </c>
    </row>
    <row r="21" spans="2:11" s="1" customFormat="1" ht="18.75" hidden="1" customHeight="1">
      <c r="B21" s="67" t="s">
        <v>388</v>
      </c>
      <c r="C21" s="53"/>
      <c r="E21" s="449">
        <v>0</v>
      </c>
      <c r="F21" s="450"/>
      <c r="G21" s="450">
        <v>0</v>
      </c>
      <c r="H21" s="450"/>
      <c r="I21" s="450">
        <v>0</v>
      </c>
      <c r="J21" s="442"/>
      <c r="K21" s="450"/>
    </row>
    <row r="22" spans="2:11" ht="18.75" customHeight="1" thickBot="1">
      <c r="E22" s="451">
        <f>SUM(E15:E21)</f>
        <v>5285693828774</v>
      </c>
      <c r="F22" s="444"/>
      <c r="G22" s="451">
        <f>SUM(G15:G21)</f>
        <v>0</v>
      </c>
      <c r="H22" s="444"/>
      <c r="I22" s="451">
        <f>SUM(I15:I21)</f>
        <v>5285693828774</v>
      </c>
      <c r="J22" s="442"/>
      <c r="K22" s="451">
        <f>SUM(K15:K21)</f>
        <v>4467039720334</v>
      </c>
    </row>
    <row r="23" spans="2:11" ht="15.75" customHeight="1" thickTop="1">
      <c r="E23" s="2"/>
      <c r="F23" s="2"/>
      <c r="G23" s="2"/>
      <c r="H23" s="2"/>
      <c r="I23" s="2"/>
      <c r="J23" s="1"/>
      <c r="K23" s="2"/>
    </row>
    <row r="24" spans="2:11" ht="24" customHeight="1">
      <c r="B24" s="875" t="s">
        <v>1198</v>
      </c>
      <c r="C24" s="875"/>
      <c r="D24" s="875"/>
      <c r="E24" s="875"/>
      <c r="F24" s="875"/>
      <c r="G24" s="875"/>
      <c r="H24" s="875"/>
      <c r="I24" s="875"/>
      <c r="J24" s="875"/>
      <c r="K24" s="875"/>
    </row>
    <row r="25" spans="2:11" ht="18.75" customHeight="1">
      <c r="B25" s="72"/>
      <c r="C25" s="287"/>
      <c r="D25" s="287"/>
      <c r="E25" s="876">
        <f>E12</f>
        <v>1402</v>
      </c>
      <c r="F25" s="876"/>
      <c r="G25" s="876"/>
      <c r="H25" s="876"/>
      <c r="I25" s="876"/>
      <c r="J25" s="31">
        <f>J12</f>
        <v>0</v>
      </c>
      <c r="K25" s="32">
        <f>K12</f>
        <v>1401</v>
      </c>
    </row>
    <row r="26" spans="2:11" ht="18.75" customHeight="1">
      <c r="B26" s="45"/>
      <c r="C26" s="130" t="s">
        <v>116</v>
      </c>
      <c r="D26" s="77"/>
      <c r="E26" s="190" t="s">
        <v>18</v>
      </c>
      <c r="F26" s="2"/>
      <c r="G26" s="190" t="s">
        <v>19</v>
      </c>
      <c r="H26" s="2"/>
      <c r="I26" s="190" t="s">
        <v>24</v>
      </c>
      <c r="J26" s="31"/>
      <c r="K26" s="326" t="s">
        <v>18</v>
      </c>
    </row>
    <row r="27" spans="2:11" ht="18.75" customHeight="1">
      <c r="B27" s="45"/>
      <c r="C27" s="77"/>
      <c r="D27" s="77"/>
      <c r="E27" s="58" t="s">
        <v>103</v>
      </c>
      <c r="F27" s="58"/>
      <c r="G27" s="58" t="s">
        <v>103</v>
      </c>
      <c r="H27" s="58"/>
      <c r="I27" s="58" t="s">
        <v>103</v>
      </c>
      <c r="J27" s="1"/>
      <c r="K27" s="58" t="s">
        <v>103</v>
      </c>
    </row>
    <row r="28" spans="2:11" ht="18.75" customHeight="1">
      <c r="B28" s="77" t="s">
        <v>275</v>
      </c>
      <c r="C28" s="57" t="s">
        <v>1290</v>
      </c>
      <c r="D28" s="45"/>
      <c r="E28" s="314">
        <f>E56</f>
        <v>610930121485</v>
      </c>
      <c r="F28" s="314"/>
      <c r="G28" s="139">
        <v>0</v>
      </c>
      <c r="H28" s="314"/>
      <c r="I28" s="314">
        <f>G28+E28</f>
        <v>610930121485</v>
      </c>
      <c r="K28" s="314">
        <f>K56</f>
        <v>903664975483</v>
      </c>
    </row>
    <row r="29" spans="2:11" ht="18.75" customHeight="1">
      <c r="B29" s="77" t="s">
        <v>276</v>
      </c>
      <c r="C29" s="57" t="s">
        <v>1291</v>
      </c>
      <c r="D29" s="45"/>
      <c r="E29" s="314">
        <f>E104</f>
        <v>702867727450</v>
      </c>
      <c r="F29" s="314"/>
      <c r="G29" s="139">
        <v>0</v>
      </c>
      <c r="H29" s="314"/>
      <c r="I29" s="314">
        <f t="shared" ref="I29:I34" si="0">G29+E29</f>
        <v>702867727450</v>
      </c>
      <c r="K29" s="314">
        <f>K104</f>
        <v>493020633770</v>
      </c>
    </row>
    <row r="30" spans="2:11" ht="18.75" customHeight="1">
      <c r="B30" s="77" t="s">
        <v>277</v>
      </c>
      <c r="C30" s="57" t="s">
        <v>1292</v>
      </c>
      <c r="D30" s="45"/>
      <c r="E30" s="314">
        <f>E124</f>
        <v>47579910732</v>
      </c>
      <c r="F30" s="58"/>
      <c r="G30" s="139">
        <v>0</v>
      </c>
      <c r="H30" s="58"/>
      <c r="I30" s="314">
        <f t="shared" si="0"/>
        <v>47579910732</v>
      </c>
      <c r="K30" s="314">
        <f>K124</f>
        <v>43015454551</v>
      </c>
    </row>
    <row r="31" spans="2:11" ht="18.75" customHeight="1">
      <c r="B31" s="77" t="s">
        <v>279</v>
      </c>
      <c r="C31" s="57" t="s">
        <v>1293</v>
      </c>
      <c r="D31" s="45"/>
      <c r="E31" s="314">
        <f>E141</f>
        <v>38516358982</v>
      </c>
      <c r="F31" s="58"/>
      <c r="G31" s="139">
        <v>0</v>
      </c>
      <c r="H31" s="58"/>
      <c r="I31" s="314">
        <f t="shared" si="0"/>
        <v>38516358982</v>
      </c>
      <c r="K31" s="314">
        <f>K141</f>
        <v>19296023726</v>
      </c>
    </row>
    <row r="32" spans="2:11" ht="18.75" customHeight="1">
      <c r="B32" s="77" t="s">
        <v>278</v>
      </c>
      <c r="C32" s="57" t="s">
        <v>1294</v>
      </c>
      <c r="D32" s="45"/>
      <c r="E32" s="314">
        <f>E168</f>
        <v>716985998715</v>
      </c>
      <c r="F32" s="58"/>
      <c r="G32" s="139">
        <v>0</v>
      </c>
      <c r="H32" s="58"/>
      <c r="I32" s="314">
        <f t="shared" si="0"/>
        <v>716985998715</v>
      </c>
      <c r="K32" s="314">
        <f>K168</f>
        <v>448500554398</v>
      </c>
    </row>
    <row r="33" spans="2:11" ht="18.75" customHeight="1">
      <c r="B33" s="77" t="s">
        <v>280</v>
      </c>
      <c r="C33" s="57" t="s">
        <v>1295</v>
      </c>
      <c r="D33" s="45"/>
      <c r="E33" s="314">
        <f>E186</f>
        <v>231210140621</v>
      </c>
      <c r="F33" s="58"/>
      <c r="G33" s="139">
        <v>0</v>
      </c>
      <c r="H33" s="58"/>
      <c r="I33" s="314">
        <f t="shared" si="0"/>
        <v>231210140621</v>
      </c>
      <c r="K33" s="314">
        <f>K186</f>
        <v>332197442962</v>
      </c>
    </row>
    <row r="34" spans="2:11" ht="18.75" customHeight="1">
      <c r="B34" s="77" t="s">
        <v>281</v>
      </c>
      <c r="C34" s="77"/>
      <c r="D34" s="45"/>
      <c r="E34" s="314">
        <v>245903728043</v>
      </c>
      <c r="F34" s="58"/>
      <c r="G34" s="139">
        <v>0</v>
      </c>
      <c r="H34" s="58"/>
      <c r="I34" s="314">
        <f t="shared" si="0"/>
        <v>245903728043</v>
      </c>
      <c r="K34" s="314">
        <v>137166257008</v>
      </c>
    </row>
    <row r="35" spans="2:11" ht="18.75" customHeight="1" thickBot="1">
      <c r="B35" s="45"/>
      <c r="C35" s="45"/>
      <c r="D35" s="45"/>
      <c r="E35" s="340">
        <f>SUM(E28:E34)</f>
        <v>2593993986028</v>
      </c>
      <c r="F35" s="314"/>
      <c r="G35" s="340">
        <f>SUM(G28:G34)</f>
        <v>0</v>
      </c>
      <c r="H35" s="314"/>
      <c r="I35" s="340">
        <f>G35+E35</f>
        <v>2593993986028</v>
      </c>
      <c r="J35" s="335"/>
      <c r="K35" s="340">
        <f>SUM(K28:K34)</f>
        <v>2376861341898</v>
      </c>
    </row>
    <row r="36" spans="2:11" ht="24" customHeight="1" thickTop="1">
      <c r="B36" s="45"/>
      <c r="C36" s="45"/>
      <c r="D36" s="45"/>
      <c r="E36" s="45"/>
      <c r="F36" s="45"/>
      <c r="G36" s="45"/>
      <c r="H36" s="45"/>
      <c r="I36" s="45"/>
      <c r="J36" s="45"/>
      <c r="K36" s="45"/>
    </row>
    <row r="37" spans="2:11" ht="24" customHeight="1">
      <c r="B37" s="875" t="s">
        <v>1199</v>
      </c>
      <c r="C37" s="875"/>
      <c r="D37" s="875"/>
      <c r="E37" s="875"/>
      <c r="F37" s="875"/>
      <c r="G37" s="875"/>
      <c r="H37" s="875"/>
      <c r="I37" s="875"/>
      <c r="J37" s="875"/>
      <c r="K37" s="875"/>
    </row>
    <row r="38" spans="2:11" ht="18.75" customHeight="1">
      <c r="B38" s="72"/>
      <c r="C38" s="72"/>
      <c r="D38" s="72"/>
      <c r="E38" s="876">
        <f>E12</f>
        <v>1402</v>
      </c>
      <c r="F38" s="876"/>
      <c r="G38" s="876"/>
      <c r="H38" s="876"/>
      <c r="I38" s="876"/>
      <c r="J38" s="31">
        <f>J12</f>
        <v>0</v>
      </c>
      <c r="K38" s="32">
        <f>K12</f>
        <v>1401</v>
      </c>
    </row>
    <row r="39" spans="2:11" ht="18.75" customHeight="1">
      <c r="B39" s="45"/>
      <c r="C39"/>
      <c r="D39" s="45"/>
      <c r="E39" s="190" t="s">
        <v>18</v>
      </c>
      <c r="F39" s="2"/>
      <c r="G39" s="190" t="s">
        <v>19</v>
      </c>
      <c r="H39" s="2"/>
      <c r="I39" s="190" t="s">
        <v>24</v>
      </c>
      <c r="J39" s="31"/>
      <c r="K39" s="326" t="s">
        <v>18</v>
      </c>
    </row>
    <row r="40" spans="2:11" ht="18.75" customHeight="1">
      <c r="B40" s="45"/>
      <c r="C40"/>
      <c r="D40" s="45"/>
      <c r="E40" s="58" t="s">
        <v>103</v>
      </c>
      <c r="F40" s="58"/>
      <c r="G40" s="58" t="s">
        <v>103</v>
      </c>
      <c r="H40" s="58"/>
      <c r="I40" s="58" t="s">
        <v>103</v>
      </c>
      <c r="J40" s="1"/>
      <c r="K40" s="58" t="s">
        <v>103</v>
      </c>
    </row>
    <row r="41" spans="2:11" ht="18.75" customHeight="1">
      <c r="B41" s="45" t="s">
        <v>811</v>
      </c>
      <c r="C41"/>
      <c r="D41" s="45"/>
      <c r="E41" s="304">
        <v>253754243080</v>
      </c>
      <c r="F41" s="58"/>
      <c r="G41" s="58">
        <v>0</v>
      </c>
      <c r="H41" s="58"/>
      <c r="I41" s="304">
        <v>253754243080</v>
      </c>
      <c r="J41" s="1"/>
      <c r="K41" s="304">
        <v>235939040031</v>
      </c>
    </row>
    <row r="42" spans="2:11" ht="18.75" customHeight="1">
      <c r="B42" s="45" t="s">
        <v>812</v>
      </c>
      <c r="C42"/>
      <c r="D42" s="45"/>
      <c r="E42" s="304">
        <v>50549071204</v>
      </c>
      <c r="F42" s="58"/>
      <c r="G42" s="58">
        <v>0</v>
      </c>
      <c r="H42" s="58"/>
      <c r="I42" s="304">
        <v>50549071204</v>
      </c>
      <c r="J42" s="1"/>
      <c r="K42" s="304">
        <v>101881497139</v>
      </c>
    </row>
    <row r="43" spans="2:11" ht="18.75" customHeight="1">
      <c r="B43" s="45" t="s">
        <v>814</v>
      </c>
      <c r="C43"/>
      <c r="D43" s="45"/>
      <c r="E43" s="304">
        <v>19795229091</v>
      </c>
      <c r="F43" s="58"/>
      <c r="G43" s="58">
        <v>0</v>
      </c>
      <c r="H43" s="58"/>
      <c r="I43" s="304">
        <v>19795229091</v>
      </c>
      <c r="J43" s="1"/>
      <c r="K43" s="304">
        <v>344535804557</v>
      </c>
    </row>
    <row r="44" spans="2:11" ht="18.75" customHeight="1">
      <c r="B44" s="45" t="s">
        <v>813</v>
      </c>
      <c r="C44"/>
      <c r="D44" s="45"/>
      <c r="E44" s="304">
        <v>15815740552</v>
      </c>
      <c r="F44" s="58"/>
      <c r="G44" s="58">
        <v>0</v>
      </c>
      <c r="H44" s="58"/>
      <c r="I44" s="304">
        <v>15815740552</v>
      </c>
      <c r="J44" s="1"/>
      <c r="K44" s="304">
        <v>13072262718</v>
      </c>
    </row>
    <row r="45" spans="2:11" ht="18.75" customHeight="1">
      <c r="B45" s="45" t="s">
        <v>815</v>
      </c>
      <c r="C45"/>
      <c r="D45" s="45"/>
      <c r="E45" s="304">
        <v>122390094174</v>
      </c>
      <c r="F45" s="58"/>
      <c r="G45" s="58">
        <v>0</v>
      </c>
      <c r="H45" s="58"/>
      <c r="I45" s="304">
        <v>122390094174</v>
      </c>
      <c r="J45" s="1"/>
      <c r="K45" s="304">
        <v>84128402719</v>
      </c>
    </row>
    <row r="46" spans="2:11" ht="18.75" customHeight="1">
      <c r="B46" s="45" t="s">
        <v>816</v>
      </c>
      <c r="C46"/>
      <c r="D46" s="45"/>
      <c r="E46" s="304">
        <v>1660456566</v>
      </c>
      <c r="F46" s="58"/>
      <c r="G46" s="58">
        <v>0</v>
      </c>
      <c r="H46" s="58"/>
      <c r="I46" s="304">
        <v>1993023766</v>
      </c>
      <c r="J46" s="1"/>
      <c r="K46" s="304">
        <v>483000329</v>
      </c>
    </row>
    <row r="47" spans="2:11" ht="18.75" customHeight="1">
      <c r="B47" s="45" t="s">
        <v>817</v>
      </c>
      <c r="C47"/>
      <c r="D47" s="45"/>
      <c r="E47" s="304">
        <v>2666042183</v>
      </c>
      <c r="F47" s="58"/>
      <c r="G47" s="58">
        <v>0</v>
      </c>
      <c r="H47" s="58"/>
      <c r="I47" s="304">
        <v>2666042183</v>
      </c>
      <c r="J47" s="1"/>
      <c r="K47" s="304">
        <v>7350811722</v>
      </c>
    </row>
    <row r="48" spans="2:11" ht="18.75" customHeight="1">
      <c r="B48" s="45" t="s">
        <v>818</v>
      </c>
      <c r="C48"/>
      <c r="D48" s="45"/>
      <c r="E48" s="322">
        <v>0</v>
      </c>
      <c r="F48" s="58"/>
      <c r="G48" s="58">
        <v>0</v>
      </c>
      <c r="H48" s="58"/>
      <c r="I48" s="322">
        <v>0</v>
      </c>
      <c r="J48" s="1"/>
      <c r="K48" s="304">
        <v>873296943</v>
      </c>
    </row>
    <row r="49" spans="2:11" ht="18.75" customHeight="1">
      <c r="B49" s="45" t="s">
        <v>819</v>
      </c>
      <c r="C49"/>
      <c r="D49" s="45"/>
      <c r="E49" s="304">
        <v>1818380807</v>
      </c>
      <c r="F49" s="58"/>
      <c r="G49" s="58">
        <v>0</v>
      </c>
      <c r="H49" s="58"/>
      <c r="I49" s="304">
        <v>1818380807</v>
      </c>
      <c r="J49" s="1"/>
      <c r="K49" s="304">
        <v>4767617783</v>
      </c>
    </row>
    <row r="50" spans="2:11" ht="18.75" customHeight="1">
      <c r="B50" s="45" t="s">
        <v>820</v>
      </c>
      <c r="C50"/>
      <c r="D50" s="45"/>
      <c r="E50" s="304">
        <v>7639919966</v>
      </c>
      <c r="F50" s="58"/>
      <c r="G50" s="58">
        <v>0</v>
      </c>
      <c r="H50" s="58"/>
      <c r="I50" s="304">
        <v>7639919966</v>
      </c>
      <c r="J50" s="1"/>
      <c r="K50" s="304">
        <v>9139460634</v>
      </c>
    </row>
    <row r="51" spans="2:11" ht="18.75" customHeight="1">
      <c r="B51" s="45" t="s">
        <v>821</v>
      </c>
      <c r="C51"/>
      <c r="D51" s="45"/>
      <c r="E51" s="304">
        <v>2147638857</v>
      </c>
      <c r="F51" s="58"/>
      <c r="G51" s="58">
        <v>0</v>
      </c>
      <c r="H51" s="58"/>
      <c r="I51" s="304">
        <v>2147638857</v>
      </c>
      <c r="J51" s="1"/>
      <c r="K51" s="304">
        <v>2286754157</v>
      </c>
    </row>
    <row r="52" spans="2:11" ht="18.75" customHeight="1">
      <c r="B52" s="45" t="s">
        <v>822</v>
      </c>
      <c r="C52"/>
      <c r="D52" s="45"/>
      <c r="E52" s="304">
        <v>28298966600</v>
      </c>
      <c r="F52" s="58"/>
      <c r="G52" s="58">
        <v>0</v>
      </c>
      <c r="H52" s="58"/>
      <c r="I52" s="304">
        <v>28298966600</v>
      </c>
      <c r="J52" s="1"/>
      <c r="K52" s="304">
        <v>18441590069</v>
      </c>
    </row>
    <row r="53" spans="2:11" ht="18.75" customHeight="1">
      <c r="B53" s="45" t="s">
        <v>823</v>
      </c>
      <c r="C53"/>
      <c r="D53" s="45"/>
      <c r="E53" s="304">
        <v>3536842547</v>
      </c>
      <c r="F53" s="58"/>
      <c r="G53" s="58">
        <v>0</v>
      </c>
      <c r="H53" s="58"/>
      <c r="I53" s="304">
        <v>3536842547</v>
      </c>
      <c r="J53" s="1"/>
      <c r="K53" s="304">
        <v>9019049914</v>
      </c>
    </row>
    <row r="54" spans="2:11" ht="18.75" customHeight="1">
      <c r="B54" s="45" t="s">
        <v>824</v>
      </c>
      <c r="C54"/>
      <c r="D54" s="45"/>
      <c r="E54" s="304">
        <v>13184922072</v>
      </c>
      <c r="F54" s="58"/>
      <c r="G54" s="58">
        <v>0</v>
      </c>
      <c r="H54" s="58"/>
      <c r="I54" s="304">
        <v>13184922072</v>
      </c>
      <c r="J54" s="1"/>
      <c r="K54" s="304">
        <v>23580060637</v>
      </c>
    </row>
    <row r="55" spans="2:11" ht="18.75" customHeight="1">
      <c r="B55" s="45" t="s">
        <v>778</v>
      </c>
      <c r="C55"/>
      <c r="D55" s="45"/>
      <c r="E55" s="304">
        <v>87672573786</v>
      </c>
      <c r="F55" s="58"/>
      <c r="G55" s="58">
        <v>0</v>
      </c>
      <c r="H55" s="58"/>
      <c r="I55" s="304">
        <v>89271185192</v>
      </c>
      <c r="J55" s="1"/>
      <c r="K55" s="304">
        <v>48166326131</v>
      </c>
    </row>
    <row r="56" spans="2:11" ht="18.75" customHeight="1" thickBot="1">
      <c r="B56" s="45"/>
      <c r="C56" s="45"/>
      <c r="D56" s="45"/>
      <c r="E56" s="340">
        <f>SUM(E41:E55)</f>
        <v>610930121485</v>
      </c>
      <c r="F56" s="58">
        <f t="shared" ref="F56:K56" si="1">SUM(F41:F55)</f>
        <v>0</v>
      </c>
      <c r="G56" s="142">
        <f t="shared" si="1"/>
        <v>0</v>
      </c>
      <c r="H56" s="58">
        <f t="shared" si="1"/>
        <v>0</v>
      </c>
      <c r="I56" s="340">
        <f t="shared" si="1"/>
        <v>612861300091</v>
      </c>
      <c r="J56" s="1">
        <f t="shared" si="1"/>
        <v>0</v>
      </c>
      <c r="K56" s="340">
        <f t="shared" si="1"/>
        <v>903664975483</v>
      </c>
    </row>
    <row r="57" spans="2:11" ht="11.25" customHeight="1" thickTop="1">
      <c r="B57" s="45"/>
      <c r="C57" s="45"/>
      <c r="D57" s="45"/>
      <c r="E57" s="314"/>
      <c r="F57" s="58"/>
      <c r="G57" s="139"/>
      <c r="H57" s="58"/>
      <c r="I57" s="314"/>
      <c r="J57" s="1"/>
      <c r="K57" s="314"/>
    </row>
    <row r="58" spans="2:11" ht="18.75" customHeight="1">
      <c r="B58" s="877" t="s">
        <v>1200</v>
      </c>
      <c r="C58" s="877"/>
      <c r="D58" s="877"/>
      <c r="E58" s="877"/>
      <c r="F58" s="877"/>
      <c r="G58" s="877"/>
      <c r="H58" s="877"/>
      <c r="I58" s="877"/>
      <c r="J58" s="877"/>
      <c r="K58" s="877"/>
    </row>
    <row r="59" spans="2:11" ht="45" customHeight="1">
      <c r="B59" s="852" t="s">
        <v>1201</v>
      </c>
      <c r="C59" s="852"/>
      <c r="D59" s="852"/>
      <c r="E59" s="852"/>
      <c r="F59" s="852"/>
      <c r="G59" s="852"/>
      <c r="H59" s="852"/>
      <c r="I59" s="852"/>
      <c r="J59" s="852"/>
      <c r="K59" s="852"/>
    </row>
    <row r="60" spans="2:11" ht="24" customHeight="1">
      <c r="B60" s="875" t="s">
        <v>1202</v>
      </c>
      <c r="C60" s="875"/>
      <c r="D60" s="875"/>
      <c r="E60" s="875"/>
      <c r="F60" s="875"/>
      <c r="G60" s="875"/>
      <c r="H60" s="875"/>
      <c r="I60" s="875"/>
      <c r="J60" s="875"/>
      <c r="K60" s="875"/>
    </row>
    <row r="61" spans="2:11" ht="18.75" customHeight="1">
      <c r="B61" s="72"/>
      <c r="C61" s="72"/>
      <c r="D61" s="72"/>
      <c r="E61" s="876">
        <f>E12</f>
        <v>1402</v>
      </c>
      <c r="F61" s="876"/>
      <c r="G61" s="876"/>
      <c r="H61" s="876"/>
      <c r="I61" s="876"/>
      <c r="J61" s="31">
        <f>J12</f>
        <v>0</v>
      </c>
      <c r="K61" s="32">
        <f>K12</f>
        <v>1401</v>
      </c>
    </row>
    <row r="62" spans="2:11" ht="18.75" customHeight="1">
      <c r="B62" s="45"/>
      <c r="C62"/>
      <c r="D62" s="45"/>
      <c r="E62" s="190" t="s">
        <v>18</v>
      </c>
      <c r="F62" s="2"/>
      <c r="G62" s="190" t="s">
        <v>19</v>
      </c>
      <c r="H62" s="2"/>
      <c r="I62" s="190" t="s">
        <v>24</v>
      </c>
      <c r="J62" s="31"/>
      <c r="K62" s="326" t="s">
        <v>18</v>
      </c>
    </row>
    <row r="63" spans="2:11" ht="18.75" customHeight="1">
      <c r="B63" s="45"/>
      <c r="C63"/>
      <c r="D63" s="45"/>
      <c r="E63" s="58" t="s">
        <v>103</v>
      </c>
      <c r="F63" s="58"/>
      <c r="G63" s="58" t="s">
        <v>103</v>
      </c>
      <c r="H63" s="58"/>
      <c r="I63" s="58" t="s">
        <v>103</v>
      </c>
      <c r="J63" s="1"/>
      <c r="K63" s="58" t="s">
        <v>103</v>
      </c>
    </row>
    <row r="64" spans="2:11" ht="18.75" customHeight="1">
      <c r="B64" s="45" t="s">
        <v>825</v>
      </c>
      <c r="C64"/>
      <c r="D64" s="45"/>
      <c r="E64" s="58">
        <v>0</v>
      </c>
      <c r="F64" s="58"/>
      <c r="G64" s="139">
        <v>0</v>
      </c>
      <c r="H64" s="58"/>
      <c r="I64" s="139">
        <v>0</v>
      </c>
      <c r="J64" s="1"/>
      <c r="K64" s="304">
        <v>32416973</v>
      </c>
    </row>
    <row r="65" spans="2:11" ht="18.75" customHeight="1">
      <c r="B65" s="45" t="s">
        <v>826</v>
      </c>
      <c r="C65"/>
      <c r="D65" s="45"/>
      <c r="E65" s="304">
        <v>85760890632</v>
      </c>
      <c r="F65" s="58"/>
      <c r="G65" s="139">
        <v>0</v>
      </c>
      <c r="H65" s="58"/>
      <c r="I65" s="304">
        <f t="shared" ref="I65:I104" si="2">E65+G65</f>
        <v>85760890632</v>
      </c>
      <c r="J65" s="1"/>
      <c r="K65" s="304">
        <v>45663380795</v>
      </c>
    </row>
    <row r="66" spans="2:11" ht="18.75" customHeight="1">
      <c r="B66" s="45" t="s">
        <v>827</v>
      </c>
      <c r="C66"/>
      <c r="D66" s="45"/>
      <c r="E66" s="304">
        <v>36964982499</v>
      </c>
      <c r="F66" s="58"/>
      <c r="G66" s="139">
        <v>0</v>
      </c>
      <c r="H66" s="58"/>
      <c r="I66" s="304">
        <f t="shared" si="2"/>
        <v>36964982499</v>
      </c>
      <c r="J66" s="1"/>
      <c r="K66" s="304">
        <v>16022013380</v>
      </c>
    </row>
    <row r="67" spans="2:11" ht="18.75" customHeight="1">
      <c r="B67" s="45" t="s">
        <v>828</v>
      </c>
      <c r="C67"/>
      <c r="D67" s="45"/>
      <c r="E67" s="304">
        <v>11525464231</v>
      </c>
      <c r="F67" s="58"/>
      <c r="G67" s="139">
        <v>0</v>
      </c>
      <c r="H67" s="58"/>
      <c r="I67" s="304">
        <f t="shared" si="2"/>
        <v>11525464231</v>
      </c>
      <c r="J67" s="1"/>
      <c r="K67" s="304">
        <v>9402961951</v>
      </c>
    </row>
    <row r="68" spans="2:11" ht="18.75" customHeight="1">
      <c r="B68" s="45" t="s">
        <v>829</v>
      </c>
      <c r="C68"/>
      <c r="D68" s="45"/>
      <c r="E68" s="304">
        <v>82976518</v>
      </c>
      <c r="F68" s="58"/>
      <c r="G68" s="139">
        <v>0</v>
      </c>
      <c r="H68" s="58"/>
      <c r="I68" s="304">
        <f t="shared" si="2"/>
        <v>82976518</v>
      </c>
      <c r="J68" s="1"/>
      <c r="K68" s="304">
        <v>150047750</v>
      </c>
    </row>
    <row r="69" spans="2:11" ht="18.75" customHeight="1">
      <c r="B69" s="45" t="s">
        <v>830</v>
      </c>
      <c r="C69"/>
      <c r="D69" s="45"/>
      <c r="E69" s="304">
        <v>1945720000</v>
      </c>
      <c r="F69" s="58"/>
      <c r="G69" s="139">
        <v>0</v>
      </c>
      <c r="H69" s="58"/>
      <c r="I69" s="304">
        <f t="shared" si="2"/>
        <v>1945720000</v>
      </c>
      <c r="J69" s="1"/>
      <c r="K69" s="304">
        <v>2344573300</v>
      </c>
    </row>
    <row r="70" spans="2:11" ht="18.75" customHeight="1">
      <c r="B70" s="45" t="s">
        <v>831</v>
      </c>
      <c r="C70"/>
      <c r="D70" s="45"/>
      <c r="E70" s="304">
        <v>1838977728</v>
      </c>
      <c r="F70" s="58"/>
      <c r="G70" s="139">
        <v>0</v>
      </c>
      <c r="H70" s="58"/>
      <c r="I70" s="304">
        <f t="shared" si="2"/>
        <v>1838977728</v>
      </c>
      <c r="J70" s="1"/>
      <c r="K70" s="304">
        <v>1838977728</v>
      </c>
    </row>
    <row r="71" spans="2:11" ht="18.75" customHeight="1">
      <c r="B71" s="45" t="s">
        <v>832</v>
      </c>
      <c r="C71"/>
      <c r="D71" s="45"/>
      <c r="E71" s="304">
        <v>18717010489</v>
      </c>
      <c r="F71" s="58"/>
      <c r="G71" s="139">
        <v>0</v>
      </c>
      <c r="H71" s="58"/>
      <c r="I71" s="304">
        <f t="shared" si="2"/>
        <v>18717010489</v>
      </c>
      <c r="J71" s="1"/>
      <c r="K71" s="304">
        <v>14053573956</v>
      </c>
    </row>
    <row r="72" spans="2:11" ht="18.75" customHeight="1">
      <c r="B72" s="45" t="s">
        <v>833</v>
      </c>
      <c r="C72"/>
      <c r="D72" s="45"/>
      <c r="E72" s="139">
        <v>0</v>
      </c>
      <c r="F72" s="58"/>
      <c r="G72" s="139">
        <v>0</v>
      </c>
      <c r="H72" s="58"/>
      <c r="I72" s="58">
        <f t="shared" si="2"/>
        <v>0</v>
      </c>
      <c r="J72" s="1"/>
      <c r="K72" s="304">
        <v>81390400</v>
      </c>
    </row>
    <row r="73" spans="2:11" ht="18.75" customHeight="1">
      <c r="B73" s="45" t="s">
        <v>834</v>
      </c>
      <c r="C73"/>
      <c r="D73" s="45"/>
      <c r="E73" s="304">
        <v>2354799800</v>
      </c>
      <c r="F73" s="58"/>
      <c r="G73" s="139">
        <v>0</v>
      </c>
      <c r="H73" s="58"/>
      <c r="I73" s="304">
        <f t="shared" si="2"/>
        <v>2354799800</v>
      </c>
      <c r="J73" s="1"/>
      <c r="K73" s="304">
        <v>2325166000</v>
      </c>
    </row>
    <row r="74" spans="2:11" ht="18.75" customHeight="1">
      <c r="B74" s="45" t="s">
        <v>835</v>
      </c>
      <c r="C74"/>
      <c r="D74" s="45"/>
      <c r="E74" s="304">
        <v>8288650337</v>
      </c>
      <c r="F74" s="58"/>
      <c r="G74" s="139">
        <v>0</v>
      </c>
      <c r="H74" s="58"/>
      <c r="I74" s="304">
        <f t="shared" si="2"/>
        <v>8288650337</v>
      </c>
      <c r="J74" s="1"/>
      <c r="K74" s="304">
        <v>8288650337</v>
      </c>
    </row>
    <row r="75" spans="2:11" ht="18.75" customHeight="1">
      <c r="B75" s="45" t="s">
        <v>836</v>
      </c>
      <c r="C75"/>
      <c r="D75" s="45"/>
      <c r="E75" s="304">
        <v>8741571321</v>
      </c>
      <c r="F75" s="58"/>
      <c r="G75" s="139">
        <v>0</v>
      </c>
      <c r="H75" s="58"/>
      <c r="I75" s="304">
        <f t="shared" si="2"/>
        <v>8741571321</v>
      </c>
      <c r="J75" s="1"/>
      <c r="K75" s="304">
        <v>8311957157</v>
      </c>
    </row>
    <row r="76" spans="2:11" ht="18.75" customHeight="1">
      <c r="B76" s="45" t="s">
        <v>837</v>
      </c>
      <c r="C76"/>
      <c r="D76" s="45"/>
      <c r="E76" s="304">
        <v>1720535000</v>
      </c>
      <c r="F76" s="58"/>
      <c r="G76" s="139">
        <v>0</v>
      </c>
      <c r="H76" s="58"/>
      <c r="I76" s="304">
        <f t="shared" si="2"/>
        <v>1720535000</v>
      </c>
      <c r="J76" s="1"/>
      <c r="K76" s="304">
        <v>1744955000</v>
      </c>
    </row>
    <row r="77" spans="2:11" ht="18.75" customHeight="1">
      <c r="B77" s="45" t="s">
        <v>838</v>
      </c>
      <c r="C77"/>
      <c r="D77" s="45"/>
      <c r="E77" s="58">
        <v>0</v>
      </c>
      <c r="F77" s="58"/>
      <c r="G77" s="139">
        <v>0</v>
      </c>
      <c r="H77" s="58"/>
      <c r="I77" s="58">
        <f t="shared" si="2"/>
        <v>0</v>
      </c>
      <c r="J77" s="1"/>
      <c r="K77" s="304">
        <v>1012900608</v>
      </c>
    </row>
    <row r="78" spans="2:11" ht="18.75" customHeight="1">
      <c r="B78" s="45" t="s">
        <v>839</v>
      </c>
      <c r="C78"/>
      <c r="D78" s="45"/>
      <c r="E78" s="58">
        <v>0</v>
      </c>
      <c r="F78" s="58"/>
      <c r="G78" s="139">
        <v>0</v>
      </c>
      <c r="H78" s="58"/>
      <c r="I78" s="58">
        <f t="shared" si="2"/>
        <v>0</v>
      </c>
      <c r="J78" s="1"/>
      <c r="K78" s="304">
        <v>1674936850</v>
      </c>
    </row>
    <row r="79" spans="2:11" ht="18.75" customHeight="1">
      <c r="B79" s="45" t="s">
        <v>840</v>
      </c>
      <c r="C79"/>
      <c r="D79" s="45"/>
      <c r="E79" s="304">
        <v>286421623</v>
      </c>
      <c r="F79" s="58"/>
      <c r="G79" s="139">
        <v>0</v>
      </c>
      <c r="H79" s="58"/>
      <c r="I79" s="304">
        <f t="shared" si="2"/>
        <v>286421623</v>
      </c>
      <c r="J79" s="1"/>
      <c r="K79" s="139">
        <v>0</v>
      </c>
    </row>
    <row r="80" spans="2:11" ht="18.75" customHeight="1">
      <c r="B80" s="45" t="s">
        <v>841</v>
      </c>
      <c r="C80"/>
      <c r="D80" s="45"/>
      <c r="E80" s="304">
        <v>5402388270</v>
      </c>
      <c r="F80" s="58"/>
      <c r="G80" s="139">
        <v>0</v>
      </c>
      <c r="H80" s="58"/>
      <c r="I80" s="304">
        <f t="shared" si="2"/>
        <v>5402388270</v>
      </c>
      <c r="J80" s="1"/>
      <c r="K80" s="304">
        <v>2724883430</v>
      </c>
    </row>
    <row r="81" spans="2:11" ht="18.75" customHeight="1">
      <c r="B81" s="45" t="s">
        <v>842</v>
      </c>
      <c r="C81"/>
      <c r="D81" s="45"/>
      <c r="E81" s="304">
        <v>5259651000</v>
      </c>
      <c r="F81" s="58"/>
      <c r="G81" s="139">
        <v>0</v>
      </c>
      <c r="H81" s="58"/>
      <c r="I81" s="304">
        <f t="shared" si="2"/>
        <v>5259651000</v>
      </c>
      <c r="J81" s="1"/>
      <c r="K81" s="304">
        <v>622500000</v>
      </c>
    </row>
    <row r="82" spans="2:11" ht="18.75" customHeight="1">
      <c r="B82" s="45" t="s">
        <v>843</v>
      </c>
      <c r="C82"/>
      <c r="D82" s="45"/>
      <c r="E82" s="304">
        <v>3802590000</v>
      </c>
      <c r="F82" s="58"/>
      <c r="G82" s="139">
        <v>0</v>
      </c>
      <c r="H82" s="58"/>
      <c r="I82" s="304">
        <f t="shared" si="2"/>
        <v>3802590000</v>
      </c>
      <c r="J82" s="1"/>
      <c r="K82" s="304">
        <v>2509180000</v>
      </c>
    </row>
    <row r="83" spans="2:11" ht="18.75" customHeight="1">
      <c r="B83" s="45" t="s">
        <v>844</v>
      </c>
      <c r="C83"/>
      <c r="D83" s="45"/>
      <c r="E83" s="304">
        <v>3132566200</v>
      </c>
      <c r="F83" s="58"/>
      <c r="G83" s="139">
        <v>0</v>
      </c>
      <c r="H83" s="58"/>
      <c r="I83" s="304">
        <f t="shared" si="2"/>
        <v>3132566200</v>
      </c>
      <c r="J83" s="1"/>
      <c r="K83" s="304">
        <v>1560405800</v>
      </c>
    </row>
    <row r="84" spans="2:11" ht="18.75" customHeight="1">
      <c r="B84" s="45" t="s">
        <v>845</v>
      </c>
      <c r="C84"/>
      <c r="D84" s="45"/>
      <c r="E84" s="304">
        <v>794840000</v>
      </c>
      <c r="F84" s="58"/>
      <c r="G84" s="139">
        <v>0</v>
      </c>
      <c r="H84" s="58"/>
      <c r="I84" s="304">
        <f t="shared" si="2"/>
        <v>794840000</v>
      </c>
      <c r="J84" s="1"/>
      <c r="K84" s="304">
        <v>997944800</v>
      </c>
    </row>
    <row r="85" spans="2:11" ht="18.75" customHeight="1">
      <c r="B85" s="45" t="s">
        <v>846</v>
      </c>
      <c r="C85"/>
      <c r="D85" s="45"/>
      <c r="E85" s="304">
        <v>1473517440</v>
      </c>
      <c r="F85" s="58"/>
      <c r="G85" s="139">
        <v>0</v>
      </c>
      <c r="H85" s="58"/>
      <c r="I85" s="304">
        <f t="shared" si="2"/>
        <v>1473517440</v>
      </c>
      <c r="J85" s="1"/>
      <c r="K85" s="304">
        <v>1473517440</v>
      </c>
    </row>
    <row r="86" spans="2:11" ht="18.75" customHeight="1">
      <c r="B86" s="45" t="s">
        <v>847</v>
      </c>
      <c r="C86"/>
      <c r="D86" s="45"/>
      <c r="E86" s="58">
        <v>0</v>
      </c>
      <c r="F86" s="58"/>
      <c r="G86" s="139">
        <v>0</v>
      </c>
      <c r="H86" s="58"/>
      <c r="I86" s="58">
        <f t="shared" si="2"/>
        <v>0</v>
      </c>
      <c r="J86" s="1"/>
      <c r="K86" s="304">
        <v>4596610712</v>
      </c>
    </row>
    <row r="87" spans="2:11" ht="18.75" customHeight="1">
      <c r="B87" s="45" t="s">
        <v>848</v>
      </c>
      <c r="C87"/>
      <c r="D87" s="45"/>
      <c r="E87" s="304">
        <v>3578101014</v>
      </c>
      <c r="F87" s="58"/>
      <c r="G87" s="139">
        <v>0</v>
      </c>
      <c r="H87" s="58"/>
      <c r="I87" s="304">
        <f t="shared" si="2"/>
        <v>3578101014</v>
      </c>
      <c r="J87" s="1"/>
      <c r="K87" s="304">
        <v>3342599948</v>
      </c>
    </row>
    <row r="88" spans="2:11" ht="18.75" customHeight="1">
      <c r="B88" s="45" t="s">
        <v>849</v>
      </c>
      <c r="C88"/>
      <c r="D88" s="45"/>
      <c r="E88" s="304">
        <v>6768790460</v>
      </c>
      <c r="F88" s="58"/>
      <c r="G88" s="139">
        <v>0</v>
      </c>
      <c r="H88" s="58"/>
      <c r="I88" s="304">
        <f t="shared" si="2"/>
        <v>6768790460</v>
      </c>
      <c r="J88" s="1"/>
      <c r="K88" s="304">
        <v>5154406900</v>
      </c>
    </row>
    <row r="89" spans="2:11" ht="18.75" customHeight="1">
      <c r="B89" s="45" t="s">
        <v>850</v>
      </c>
      <c r="C89"/>
      <c r="D89" s="45"/>
      <c r="E89" s="304">
        <v>1867888000</v>
      </c>
      <c r="F89" s="58"/>
      <c r="G89" s="139">
        <v>0</v>
      </c>
      <c r="H89" s="58"/>
      <c r="I89" s="304">
        <f t="shared" si="2"/>
        <v>1867888000</v>
      </c>
      <c r="J89" s="1"/>
      <c r="K89" s="304">
        <v>4872924000</v>
      </c>
    </row>
    <row r="90" spans="2:11" ht="18.75" customHeight="1">
      <c r="B90" s="45" t="s">
        <v>851</v>
      </c>
      <c r="C90"/>
      <c r="D90" s="45"/>
      <c r="E90" s="304">
        <v>20519180812</v>
      </c>
      <c r="F90" s="58"/>
      <c r="G90" s="139">
        <v>0</v>
      </c>
      <c r="H90" s="58"/>
      <c r="I90" s="304">
        <f t="shared" si="2"/>
        <v>20519180812</v>
      </c>
      <c r="J90" s="1"/>
      <c r="K90" s="304">
        <v>13188082837</v>
      </c>
    </row>
    <row r="91" spans="2:11" ht="18.75" customHeight="1">
      <c r="B91" s="45" t="s">
        <v>780</v>
      </c>
      <c r="C91"/>
      <c r="D91" s="45"/>
      <c r="E91" s="304">
        <v>1752595000</v>
      </c>
      <c r="F91" s="58"/>
      <c r="G91" s="139">
        <v>0</v>
      </c>
      <c r="H91" s="58"/>
      <c r="I91" s="304">
        <f t="shared" si="2"/>
        <v>1752595000</v>
      </c>
      <c r="J91" s="1"/>
      <c r="K91" s="304">
        <v>4038549000</v>
      </c>
    </row>
    <row r="92" spans="2:11" ht="18.75" customHeight="1">
      <c r="B92" s="45" t="s">
        <v>852</v>
      </c>
      <c r="C92"/>
      <c r="D92" s="45"/>
      <c r="E92" s="304">
        <v>467635480</v>
      </c>
      <c r="F92" s="58"/>
      <c r="G92" s="139">
        <v>0</v>
      </c>
      <c r="H92" s="58"/>
      <c r="I92" s="304">
        <f t="shared" si="2"/>
        <v>467635480</v>
      </c>
      <c r="J92" s="1"/>
      <c r="K92" s="304">
        <v>1105000000</v>
      </c>
    </row>
    <row r="93" spans="2:11" ht="18.75" customHeight="1">
      <c r="B93" s="45" t="s">
        <v>853</v>
      </c>
      <c r="C93"/>
      <c r="D93" s="45"/>
      <c r="E93" s="304">
        <v>3268757340</v>
      </c>
      <c r="F93" s="58"/>
      <c r="G93" s="139">
        <v>0</v>
      </c>
      <c r="H93" s="58"/>
      <c r="I93" s="304">
        <f t="shared" si="2"/>
        <v>3268757340</v>
      </c>
      <c r="J93" s="1"/>
      <c r="K93" s="304">
        <v>3206481463</v>
      </c>
    </row>
    <row r="94" spans="2:11" ht="18.75" customHeight="1">
      <c r="B94" s="45" t="s">
        <v>854</v>
      </c>
      <c r="C94"/>
      <c r="D94" s="45"/>
      <c r="E94" s="304">
        <v>1895250000</v>
      </c>
      <c r="F94" s="58"/>
      <c r="G94" s="139">
        <v>0</v>
      </c>
      <c r="H94" s="58"/>
      <c r="I94" s="304">
        <f t="shared" si="2"/>
        <v>1895250000</v>
      </c>
      <c r="J94" s="1"/>
      <c r="K94" s="304">
        <v>1895250000</v>
      </c>
    </row>
    <row r="95" spans="2:11" ht="18.75" customHeight="1">
      <c r="B95" s="45" t="s">
        <v>855</v>
      </c>
      <c r="C95"/>
      <c r="D95" s="45"/>
      <c r="E95" s="304">
        <v>5750111735</v>
      </c>
      <c r="F95" s="58"/>
      <c r="G95" s="139">
        <v>0</v>
      </c>
      <c r="H95" s="58"/>
      <c r="I95" s="304">
        <f t="shared" si="2"/>
        <v>5750111735</v>
      </c>
      <c r="J95" s="1"/>
      <c r="K95" s="304">
        <v>22242928328</v>
      </c>
    </row>
    <row r="96" spans="2:11" ht="18.75" customHeight="1">
      <c r="B96" s="45" t="s">
        <v>856</v>
      </c>
      <c r="C96"/>
      <c r="D96" s="45"/>
      <c r="E96" s="304">
        <v>4558748827</v>
      </c>
      <c r="F96" s="58"/>
      <c r="G96" s="139">
        <v>0</v>
      </c>
      <c r="H96" s="58"/>
      <c r="I96" s="304">
        <f t="shared" si="2"/>
        <v>4558748827</v>
      </c>
      <c r="J96" s="1"/>
      <c r="K96" s="304">
        <v>4558748827</v>
      </c>
    </row>
    <row r="97" spans="2:11" ht="18.75" customHeight="1">
      <c r="B97" s="45" t="s">
        <v>857</v>
      </c>
      <c r="C97"/>
      <c r="D97" s="45"/>
      <c r="E97" s="304">
        <v>3992416000</v>
      </c>
      <c r="F97" s="58"/>
      <c r="G97" s="139">
        <v>0</v>
      </c>
      <c r="H97" s="58"/>
      <c r="I97" s="304">
        <f t="shared" si="2"/>
        <v>3992416000</v>
      </c>
      <c r="J97" s="1"/>
      <c r="K97" s="304">
        <v>2105114000</v>
      </c>
    </row>
    <row r="98" spans="2:11" ht="18.75" customHeight="1">
      <c r="B98" s="45" t="s">
        <v>858</v>
      </c>
      <c r="C98"/>
      <c r="D98" s="45"/>
      <c r="E98" s="304">
        <v>7706955796</v>
      </c>
      <c r="F98" s="58"/>
      <c r="G98" s="139">
        <v>0</v>
      </c>
      <c r="H98" s="58"/>
      <c r="I98" s="304">
        <f t="shared" si="2"/>
        <v>7706955796</v>
      </c>
      <c r="J98" s="1"/>
      <c r="K98" s="304">
        <v>4659082437</v>
      </c>
    </row>
    <row r="99" spans="2:11" ht="18.75" customHeight="1">
      <c r="B99" s="45" t="s">
        <v>859</v>
      </c>
      <c r="C99"/>
      <c r="D99" s="45"/>
      <c r="E99" s="304">
        <v>1921042800</v>
      </c>
      <c r="F99" s="58"/>
      <c r="G99" s="139">
        <v>0</v>
      </c>
      <c r="H99" s="58"/>
      <c r="I99" s="304">
        <f t="shared" si="2"/>
        <v>1921042800</v>
      </c>
      <c r="J99" s="1"/>
      <c r="K99" s="304">
        <v>1921042800</v>
      </c>
    </row>
    <row r="100" spans="2:11" ht="18.75" customHeight="1">
      <c r="B100" s="45" t="s">
        <v>860</v>
      </c>
      <c r="C100"/>
      <c r="D100" s="45"/>
      <c r="E100" s="304">
        <v>1800000000</v>
      </c>
      <c r="F100" s="58"/>
      <c r="G100" s="139">
        <v>0</v>
      </c>
      <c r="H100" s="58"/>
      <c r="I100" s="304">
        <f t="shared" si="2"/>
        <v>1800000000</v>
      </c>
      <c r="J100" s="1"/>
      <c r="K100" s="304">
        <v>5103108000</v>
      </c>
    </row>
    <row r="101" spans="2:11" ht="18.75" customHeight="1">
      <c r="B101" s="45" t="s">
        <v>861</v>
      </c>
      <c r="C101"/>
      <c r="D101" s="45"/>
      <c r="E101" s="304">
        <v>8348990000</v>
      </c>
      <c r="F101" s="58"/>
      <c r="G101" s="139">
        <v>0</v>
      </c>
      <c r="H101" s="58"/>
      <c r="I101" s="304">
        <f t="shared" si="2"/>
        <v>8348990000</v>
      </c>
      <c r="J101" s="1"/>
      <c r="K101" s="304">
        <v>6410942075</v>
      </c>
    </row>
    <row r="102" spans="2:11" ht="18.75" customHeight="1">
      <c r="B102" s="45" t="s">
        <v>862</v>
      </c>
      <c r="C102"/>
      <c r="D102" s="45"/>
      <c r="E102" s="58">
        <v>0</v>
      </c>
      <c r="F102" s="58"/>
      <c r="G102" s="139">
        <v>0</v>
      </c>
      <c r="H102" s="58"/>
      <c r="I102" s="58">
        <f t="shared" si="2"/>
        <v>0</v>
      </c>
      <c r="J102" s="1"/>
      <c r="K102" s="304">
        <v>1117250000</v>
      </c>
    </row>
    <row r="103" spans="2:11" ht="18.75" customHeight="1">
      <c r="B103" s="45" t="s">
        <v>863</v>
      </c>
      <c r="C103"/>
      <c r="D103" s="45"/>
      <c r="E103" s="304">
        <v>430577711098</v>
      </c>
      <c r="F103" s="58"/>
      <c r="G103" s="139">
        <v>0</v>
      </c>
      <c r="H103" s="58"/>
      <c r="I103" s="304">
        <f t="shared" si="2"/>
        <v>430577711098</v>
      </c>
      <c r="J103" s="1"/>
      <c r="K103" s="304">
        <v>280666178788</v>
      </c>
    </row>
    <row r="104" spans="2:11" ht="18.75" customHeight="1" thickBot="1">
      <c r="B104" s="45"/>
      <c r="C104" s="45"/>
      <c r="D104" s="45"/>
      <c r="E104" s="323">
        <f>SUM(E64:E103)</f>
        <v>702867727450</v>
      </c>
      <c r="F104" s="58"/>
      <c r="G104" s="323">
        <v>0</v>
      </c>
      <c r="H104" s="58"/>
      <c r="I104" s="323">
        <f t="shared" si="2"/>
        <v>702867727450</v>
      </c>
      <c r="K104" s="323">
        <f>SUM(K64:K103)</f>
        <v>493020633770</v>
      </c>
    </row>
    <row r="105" spans="2:11" ht="13.5" customHeight="1" thickTop="1">
      <c r="B105" s="45"/>
      <c r="C105" s="45"/>
      <c r="D105" s="45"/>
      <c r="E105" s="492"/>
      <c r="F105" s="58"/>
      <c r="G105" s="492"/>
      <c r="H105" s="58"/>
      <c r="I105" s="492"/>
      <c r="K105" s="492"/>
    </row>
    <row r="106" spans="2:11" ht="24.75" customHeight="1">
      <c r="B106" s="878" t="s">
        <v>1203</v>
      </c>
      <c r="C106" s="878"/>
      <c r="D106" s="878"/>
      <c r="E106" s="878"/>
      <c r="F106" s="878"/>
      <c r="G106" s="878"/>
      <c r="H106" s="878"/>
      <c r="I106" s="878"/>
      <c r="J106" s="878"/>
      <c r="K106" s="878"/>
    </row>
    <row r="107" spans="2:11" ht="14.25" customHeight="1">
      <c r="B107" s="45"/>
      <c r="C107" s="45"/>
      <c r="D107" s="45"/>
      <c r="E107" s="58"/>
      <c r="F107" s="58"/>
      <c r="G107" s="58"/>
      <c r="H107" s="58"/>
      <c r="I107" s="58"/>
      <c r="K107" s="58"/>
    </row>
    <row r="108" spans="2:11" ht="24" customHeight="1">
      <c r="B108" s="875" t="s">
        <v>1204</v>
      </c>
      <c r="C108" s="875"/>
      <c r="D108" s="875"/>
      <c r="E108" s="875"/>
      <c r="F108" s="875"/>
      <c r="G108" s="875"/>
      <c r="H108" s="875"/>
      <c r="I108" s="875"/>
      <c r="J108" s="875"/>
      <c r="K108" s="875"/>
    </row>
    <row r="109" spans="2:11" ht="18.75" customHeight="1">
      <c r="B109" s="72"/>
      <c r="C109" s="72"/>
      <c r="D109" s="72"/>
      <c r="E109" s="876">
        <f>E12</f>
        <v>1402</v>
      </c>
      <c r="F109" s="876"/>
      <c r="G109" s="876"/>
      <c r="H109" s="876"/>
      <c r="I109" s="876"/>
      <c r="J109" s="31">
        <f>J12</f>
        <v>0</v>
      </c>
      <c r="K109" s="32">
        <f>K12</f>
        <v>1401</v>
      </c>
    </row>
    <row r="110" spans="2:11" ht="18.75" customHeight="1">
      <c r="B110" s="45"/>
      <c r="C110"/>
      <c r="D110" s="45"/>
      <c r="E110" s="190" t="s">
        <v>18</v>
      </c>
      <c r="F110" s="2"/>
      <c r="G110" s="190" t="s">
        <v>19</v>
      </c>
      <c r="H110" s="2"/>
      <c r="I110" s="190" t="s">
        <v>24</v>
      </c>
      <c r="J110" s="31"/>
      <c r="K110" s="326" t="s">
        <v>18</v>
      </c>
    </row>
    <row r="111" spans="2:11" ht="18.75" customHeight="1">
      <c r="B111" s="45"/>
      <c r="C111"/>
      <c r="D111" s="45"/>
      <c r="E111" s="58" t="s">
        <v>103</v>
      </c>
      <c r="F111" s="58"/>
      <c r="G111" s="58" t="s">
        <v>103</v>
      </c>
      <c r="H111" s="58"/>
      <c r="I111" s="58" t="s">
        <v>103</v>
      </c>
      <c r="J111" s="1"/>
      <c r="K111" s="58" t="s">
        <v>103</v>
      </c>
    </row>
    <row r="112" spans="2:11" ht="18.75" customHeight="1">
      <c r="B112" s="45" t="s">
        <v>864</v>
      </c>
      <c r="C112"/>
      <c r="D112" s="45"/>
      <c r="E112" s="58">
        <v>0</v>
      </c>
      <c r="F112" s="58"/>
      <c r="G112" s="58">
        <v>0</v>
      </c>
      <c r="H112" s="58"/>
      <c r="I112" s="58">
        <f>G112+E112</f>
        <v>0</v>
      </c>
      <c r="J112" s="1"/>
      <c r="K112" s="304">
        <v>810960000</v>
      </c>
    </row>
    <row r="113" spans="2:11" ht="18.75" customHeight="1">
      <c r="B113" s="45" t="s">
        <v>865</v>
      </c>
      <c r="C113"/>
      <c r="D113" s="45"/>
      <c r="E113" s="304">
        <v>193518600</v>
      </c>
      <c r="F113" s="58"/>
      <c r="G113" s="58">
        <v>0</v>
      </c>
      <c r="H113" s="58"/>
      <c r="I113" s="304">
        <f t="shared" ref="I113:I124" si="3">G113+E113</f>
        <v>193518600</v>
      </c>
      <c r="J113" s="1"/>
      <c r="K113" s="304">
        <v>544978200</v>
      </c>
    </row>
    <row r="114" spans="2:11" ht="18.75" customHeight="1">
      <c r="B114" s="45" t="s">
        <v>866</v>
      </c>
      <c r="C114"/>
      <c r="D114" s="45"/>
      <c r="E114" s="58">
        <v>0</v>
      </c>
      <c r="F114" s="58"/>
      <c r="G114" s="58">
        <v>0</v>
      </c>
      <c r="H114" s="58"/>
      <c r="I114" s="58">
        <f t="shared" si="3"/>
        <v>0</v>
      </c>
      <c r="J114" s="1"/>
      <c r="K114" s="304">
        <v>1613636000</v>
      </c>
    </row>
    <row r="115" spans="2:11" ht="18.75" customHeight="1">
      <c r="B115" s="45" t="s">
        <v>867</v>
      </c>
      <c r="C115"/>
      <c r="D115" s="45"/>
      <c r="E115" s="304">
        <v>1298504000</v>
      </c>
      <c r="F115" s="58"/>
      <c r="G115" s="58">
        <v>0</v>
      </c>
      <c r="H115" s="58"/>
      <c r="I115" s="304">
        <f t="shared" si="3"/>
        <v>1298504000</v>
      </c>
      <c r="J115" s="1"/>
      <c r="K115" s="304">
        <v>1298504000</v>
      </c>
    </row>
    <row r="116" spans="2:11" ht="18.75" customHeight="1">
      <c r="B116" s="45" t="s">
        <v>868</v>
      </c>
      <c r="C116"/>
      <c r="D116" s="45"/>
      <c r="E116" s="58">
        <v>0</v>
      </c>
      <c r="F116" s="58"/>
      <c r="G116" s="58">
        <v>0</v>
      </c>
      <c r="H116" s="58"/>
      <c r="I116" s="58">
        <f t="shared" si="3"/>
        <v>0</v>
      </c>
      <c r="J116" s="1"/>
      <c r="K116" s="304">
        <v>170180000</v>
      </c>
    </row>
    <row r="117" spans="2:11" ht="18.75" customHeight="1">
      <c r="B117" s="45" t="s">
        <v>869</v>
      </c>
      <c r="C117"/>
      <c r="D117" s="45"/>
      <c r="E117" s="304">
        <v>3203950060</v>
      </c>
      <c r="F117" s="304"/>
      <c r="G117" s="58">
        <v>0</v>
      </c>
      <c r="H117" s="58"/>
      <c r="I117" s="304">
        <f t="shared" si="3"/>
        <v>3203950060</v>
      </c>
      <c r="J117" s="1"/>
      <c r="K117" s="304">
        <v>21055812180</v>
      </c>
    </row>
    <row r="118" spans="2:11" ht="18.75" customHeight="1">
      <c r="B118" s="45" t="s">
        <v>870</v>
      </c>
      <c r="C118"/>
      <c r="D118" s="45"/>
      <c r="E118" s="304">
        <v>3012846520</v>
      </c>
      <c r="F118" s="58"/>
      <c r="G118" s="58">
        <v>0</v>
      </c>
      <c r="H118" s="58"/>
      <c r="I118" s="304">
        <f t="shared" si="3"/>
        <v>3012846520</v>
      </c>
      <c r="J118" s="1"/>
      <c r="K118" s="304">
        <v>2543329000</v>
      </c>
    </row>
    <row r="119" spans="2:11" ht="18.75" customHeight="1">
      <c r="B119" s="45" t="s">
        <v>871</v>
      </c>
      <c r="C119"/>
      <c r="D119" s="45"/>
      <c r="E119" s="58">
        <v>0</v>
      </c>
      <c r="F119" s="58"/>
      <c r="G119" s="58">
        <v>0</v>
      </c>
      <c r="H119" s="58"/>
      <c r="I119" s="58">
        <f t="shared" si="3"/>
        <v>0</v>
      </c>
      <c r="J119" s="1"/>
      <c r="K119" s="304">
        <v>728898655</v>
      </c>
    </row>
    <row r="120" spans="2:11" ht="18.75" customHeight="1">
      <c r="B120" s="45" t="s">
        <v>872</v>
      </c>
      <c r="C120"/>
      <c r="D120" s="45"/>
      <c r="E120" s="304">
        <v>2843071158</v>
      </c>
      <c r="F120" s="58"/>
      <c r="G120" s="58">
        <v>0</v>
      </c>
      <c r="H120" s="58"/>
      <c r="I120" s="304">
        <f t="shared" si="3"/>
        <v>2843071158</v>
      </c>
      <c r="J120" s="1"/>
      <c r="K120" s="304">
        <v>616921680</v>
      </c>
    </row>
    <row r="121" spans="2:11" ht="18.75" customHeight="1">
      <c r="B121" s="45" t="s">
        <v>873</v>
      </c>
      <c r="C121"/>
      <c r="D121" s="45"/>
      <c r="E121" s="58">
        <v>0</v>
      </c>
      <c r="F121" s="58"/>
      <c r="G121" s="58">
        <v>0</v>
      </c>
      <c r="H121" s="58"/>
      <c r="I121" s="58">
        <f t="shared" si="3"/>
        <v>0</v>
      </c>
      <c r="J121" s="1"/>
      <c r="K121" s="304">
        <v>250000000</v>
      </c>
    </row>
    <row r="122" spans="2:11" ht="18.75" customHeight="1">
      <c r="B122" s="45" t="s">
        <v>874</v>
      </c>
      <c r="C122"/>
      <c r="D122" s="45"/>
      <c r="E122" s="58">
        <v>0</v>
      </c>
      <c r="F122" s="58"/>
      <c r="G122" s="58">
        <v>0</v>
      </c>
      <c r="H122" s="58"/>
      <c r="I122" s="58">
        <f t="shared" si="3"/>
        <v>0</v>
      </c>
      <c r="J122" s="1"/>
      <c r="K122" s="304">
        <v>805935000</v>
      </c>
    </row>
    <row r="123" spans="2:11" ht="18.75" customHeight="1">
      <c r="B123" s="45" t="s">
        <v>875</v>
      </c>
      <c r="C123"/>
      <c r="D123" s="45"/>
      <c r="E123" s="304">
        <v>37028020394</v>
      </c>
      <c r="F123" s="58"/>
      <c r="G123" s="58">
        <v>0</v>
      </c>
      <c r="H123" s="58"/>
      <c r="I123" s="304">
        <f t="shared" si="3"/>
        <v>37028020394</v>
      </c>
      <c r="J123" s="1"/>
      <c r="K123" s="304">
        <v>12576299836</v>
      </c>
    </row>
    <row r="124" spans="2:11" ht="18.75" customHeight="1" thickBot="1">
      <c r="B124" s="45"/>
      <c r="C124" s="45"/>
      <c r="D124" s="45"/>
      <c r="E124" s="323">
        <f>SUM(E112:E123)</f>
        <v>47579910732</v>
      </c>
      <c r="F124" s="58">
        <f>SUM(F112:F123)</f>
        <v>0</v>
      </c>
      <c r="G124" s="142">
        <f>SUM(G112:G123)</f>
        <v>0</v>
      </c>
      <c r="H124" s="58">
        <f>SUM(H112:H123)</f>
        <v>0</v>
      </c>
      <c r="I124" s="323">
        <f t="shared" si="3"/>
        <v>47579910732</v>
      </c>
      <c r="J124" s="1">
        <f>SUM(J112:J123)</f>
        <v>0</v>
      </c>
      <c r="K124" s="323">
        <f>SUM(K112:K123)</f>
        <v>43015454551</v>
      </c>
    </row>
    <row r="125" spans="2:11" ht="9" customHeight="1" thickTop="1">
      <c r="B125" s="45"/>
      <c r="C125" s="45"/>
      <c r="D125" s="45"/>
      <c r="E125" s="492"/>
      <c r="F125" s="58"/>
      <c r="G125" s="139"/>
      <c r="H125" s="58"/>
      <c r="I125" s="492"/>
      <c r="J125" s="1"/>
      <c r="K125" s="492"/>
    </row>
    <row r="126" spans="2:11" ht="22.5" customHeight="1">
      <c r="B126" s="878" t="s">
        <v>1205</v>
      </c>
      <c r="C126" s="878"/>
      <c r="D126" s="878"/>
      <c r="E126" s="878"/>
      <c r="F126" s="878"/>
      <c r="G126" s="878"/>
      <c r="H126" s="878"/>
      <c r="I126" s="878"/>
      <c r="J126" s="878"/>
      <c r="K126" s="878"/>
    </row>
    <row r="127" spans="2:11" ht="17.25" customHeight="1">
      <c r="B127" s="45"/>
      <c r="C127" s="45"/>
      <c r="D127" s="45"/>
      <c r="E127" s="58"/>
      <c r="F127" s="58"/>
      <c r="G127" s="58"/>
      <c r="H127" s="58"/>
      <c r="I127" s="58"/>
      <c r="K127" s="58"/>
    </row>
    <row r="128" spans="2:11" ht="24" customHeight="1">
      <c r="B128" s="875" t="s">
        <v>1206</v>
      </c>
      <c r="C128" s="875"/>
      <c r="D128" s="875"/>
      <c r="E128" s="875"/>
      <c r="F128" s="875"/>
      <c r="G128" s="875"/>
      <c r="H128" s="875"/>
      <c r="I128" s="875"/>
      <c r="J128" s="875"/>
      <c r="K128" s="875"/>
    </row>
    <row r="129" spans="2:11" ht="18.75" customHeight="1">
      <c r="B129" s="72"/>
      <c r="C129" s="72"/>
      <c r="D129" s="72"/>
      <c r="E129" s="876">
        <f>E12</f>
        <v>1402</v>
      </c>
      <c r="F129" s="876"/>
      <c r="G129" s="876"/>
      <c r="H129" s="876"/>
      <c r="I129" s="876"/>
      <c r="J129" s="31">
        <f>J12</f>
        <v>0</v>
      </c>
      <c r="K129" s="32">
        <f>K12</f>
        <v>1401</v>
      </c>
    </row>
    <row r="130" spans="2:11" ht="18.75" customHeight="1">
      <c r="B130" s="45"/>
      <c r="C130"/>
      <c r="D130" s="45"/>
      <c r="E130" s="190" t="s">
        <v>18</v>
      </c>
      <c r="F130" s="2"/>
      <c r="G130" s="190" t="s">
        <v>19</v>
      </c>
      <c r="H130" s="2"/>
      <c r="I130" s="190" t="s">
        <v>24</v>
      </c>
      <c r="J130" s="31"/>
      <c r="K130" s="326" t="s">
        <v>18</v>
      </c>
    </row>
    <row r="131" spans="2:11" ht="18.75" customHeight="1">
      <c r="B131" s="45"/>
      <c r="C131"/>
      <c r="D131" s="45"/>
      <c r="E131" s="58" t="s">
        <v>103</v>
      </c>
      <c r="F131" s="58"/>
      <c r="G131" s="58" t="s">
        <v>103</v>
      </c>
      <c r="H131" s="58"/>
      <c r="I131" s="58" t="s">
        <v>103</v>
      </c>
      <c r="J131" s="1"/>
      <c r="K131" s="58" t="s">
        <v>103</v>
      </c>
    </row>
    <row r="132" spans="2:11" ht="18.75" customHeight="1">
      <c r="B132" s="45" t="s">
        <v>876</v>
      </c>
      <c r="C132"/>
      <c r="D132" s="45"/>
      <c r="E132" s="304">
        <v>833569262</v>
      </c>
      <c r="F132" s="58"/>
      <c r="G132" s="58">
        <v>0</v>
      </c>
      <c r="H132" s="58"/>
      <c r="I132" s="304">
        <f>E132+G132</f>
        <v>833569262</v>
      </c>
      <c r="J132" s="1"/>
      <c r="K132" s="304">
        <v>1954837000</v>
      </c>
    </row>
    <row r="133" spans="2:11" ht="18.75" customHeight="1">
      <c r="B133" s="45" t="s">
        <v>877</v>
      </c>
      <c r="C133"/>
      <c r="D133" s="45"/>
      <c r="E133" s="304">
        <v>1221900000</v>
      </c>
      <c r="F133" s="58"/>
      <c r="G133" s="58">
        <v>0</v>
      </c>
      <c r="H133" s="58"/>
      <c r="I133" s="304">
        <f>E133+G133</f>
        <v>1221900000</v>
      </c>
      <c r="J133" s="1"/>
      <c r="K133" s="304">
        <v>3831900000</v>
      </c>
    </row>
    <row r="134" spans="2:11" ht="18.75" customHeight="1">
      <c r="B134" s="45" t="s">
        <v>878</v>
      </c>
      <c r="C134"/>
      <c r="D134" s="45"/>
      <c r="E134" s="304">
        <v>2166981115</v>
      </c>
      <c r="F134" s="58"/>
      <c r="G134" s="58">
        <v>0</v>
      </c>
      <c r="H134" s="58"/>
      <c r="I134" s="304">
        <f t="shared" ref="I134:I140" si="4">E134+G134</f>
        <v>2166981115</v>
      </c>
      <c r="J134" s="1"/>
      <c r="K134" s="304">
        <v>1033588000</v>
      </c>
    </row>
    <row r="135" spans="2:11" ht="18.75" customHeight="1">
      <c r="B135" s="45" t="s">
        <v>879</v>
      </c>
      <c r="C135"/>
      <c r="D135" s="45"/>
      <c r="E135" s="304">
        <f>3500000+860000</f>
        <v>4360000</v>
      </c>
      <c r="F135" s="58"/>
      <c r="G135" s="58">
        <v>0</v>
      </c>
      <c r="H135" s="58"/>
      <c r="I135" s="304">
        <f t="shared" si="4"/>
        <v>4360000</v>
      </c>
      <c r="J135" s="1"/>
      <c r="K135" s="304">
        <v>55500000</v>
      </c>
    </row>
    <row r="136" spans="2:11" ht="18.75" customHeight="1">
      <c r="B136" s="45" t="s">
        <v>880</v>
      </c>
      <c r="C136"/>
      <c r="D136" s="45"/>
      <c r="E136" s="304">
        <v>3179905750</v>
      </c>
      <c r="F136" s="58"/>
      <c r="G136" s="58">
        <v>0</v>
      </c>
      <c r="H136" s="58"/>
      <c r="I136" s="304">
        <f t="shared" si="4"/>
        <v>3179905750</v>
      </c>
      <c r="J136" s="1"/>
      <c r="K136" s="304">
        <v>13000000</v>
      </c>
    </row>
    <row r="137" spans="2:11" ht="18.75" customHeight="1">
      <c r="B137" s="45" t="s">
        <v>881</v>
      </c>
      <c r="C137"/>
      <c r="D137" s="45"/>
      <c r="E137" s="304">
        <v>3701131227</v>
      </c>
      <c r="F137" s="58"/>
      <c r="G137" s="58">
        <v>0</v>
      </c>
      <c r="H137" s="58"/>
      <c r="I137" s="304">
        <f t="shared" si="4"/>
        <v>3701131227</v>
      </c>
      <c r="J137" s="1"/>
      <c r="K137" s="304">
        <v>1894643044</v>
      </c>
    </row>
    <row r="138" spans="2:11" ht="18.75" customHeight="1">
      <c r="B138" s="45" t="s">
        <v>882</v>
      </c>
      <c r="C138"/>
      <c r="D138" s="45"/>
      <c r="E138" s="304">
        <v>1231900000</v>
      </c>
      <c r="F138" s="58"/>
      <c r="G138" s="58">
        <v>0</v>
      </c>
      <c r="H138" s="58"/>
      <c r="I138" s="304">
        <f t="shared" si="4"/>
        <v>1231900000</v>
      </c>
      <c r="J138" s="1"/>
      <c r="K138" s="304">
        <v>3824200000</v>
      </c>
    </row>
    <row r="139" spans="2:11" ht="18.75" customHeight="1">
      <c r="B139" s="45" t="s">
        <v>883</v>
      </c>
      <c r="C139"/>
      <c r="D139" s="45"/>
      <c r="E139" s="304">
        <v>8922000000</v>
      </c>
      <c r="F139" s="58"/>
      <c r="G139" s="58">
        <v>0</v>
      </c>
      <c r="H139" s="58"/>
      <c r="I139" s="304">
        <f>E139+G139</f>
        <v>8922000000</v>
      </c>
      <c r="J139" s="1"/>
      <c r="K139" s="304">
        <v>5312300000</v>
      </c>
    </row>
    <row r="140" spans="2:11" ht="18.75" customHeight="1">
      <c r="B140" s="45" t="s">
        <v>875</v>
      </c>
      <c r="C140" s="57"/>
      <c r="D140" s="45"/>
      <c r="E140" s="304">
        <v>17254611628</v>
      </c>
      <c r="F140" s="58"/>
      <c r="G140" s="58">
        <v>0</v>
      </c>
      <c r="H140" s="58"/>
      <c r="I140" s="304">
        <f t="shared" si="4"/>
        <v>17254611628</v>
      </c>
      <c r="K140" s="304">
        <v>1376055682</v>
      </c>
    </row>
    <row r="141" spans="2:11" ht="18.75" customHeight="1" thickBot="1">
      <c r="B141" s="45"/>
      <c r="C141" s="45"/>
      <c r="D141" s="45"/>
      <c r="E141" s="323">
        <f>SUM(E132:E140)</f>
        <v>38516358982</v>
      </c>
      <c r="F141" s="58"/>
      <c r="G141" s="142">
        <v>0</v>
      </c>
      <c r="H141" s="58"/>
      <c r="I141" s="323">
        <f>E141+G141</f>
        <v>38516358982</v>
      </c>
      <c r="K141" s="323">
        <f>SUM(K132:K140)</f>
        <v>19296023726</v>
      </c>
    </row>
    <row r="142" spans="2:11" ht="9" customHeight="1" thickTop="1">
      <c r="B142" s="45"/>
      <c r="C142" s="45"/>
      <c r="D142" s="45"/>
      <c r="E142" s="492"/>
      <c r="F142" s="58"/>
      <c r="G142" s="139"/>
      <c r="H142" s="58"/>
      <c r="I142" s="492"/>
      <c r="K142" s="492"/>
    </row>
    <row r="143" spans="2:11" ht="18.75" customHeight="1">
      <c r="B143" s="878" t="s">
        <v>1207</v>
      </c>
      <c r="C143" s="878"/>
      <c r="D143" s="878"/>
      <c r="E143" s="878"/>
      <c r="F143" s="878"/>
      <c r="G143" s="878"/>
      <c r="H143" s="878"/>
      <c r="I143" s="878"/>
      <c r="J143" s="878"/>
      <c r="K143" s="878"/>
    </row>
    <row r="144" spans="2:11" ht="8.25" customHeight="1">
      <c r="B144" s="45"/>
      <c r="C144" s="45"/>
      <c r="D144" s="45"/>
      <c r="E144" s="58"/>
      <c r="F144" s="58"/>
      <c r="G144" s="58"/>
      <c r="H144" s="58"/>
      <c r="I144" s="58"/>
      <c r="K144" s="58"/>
    </row>
    <row r="145" spans="2:11" ht="24" customHeight="1">
      <c r="B145" s="875" t="s">
        <v>1208</v>
      </c>
      <c r="C145" s="875"/>
      <c r="D145" s="875"/>
      <c r="E145" s="875"/>
      <c r="F145" s="875"/>
      <c r="G145" s="875"/>
      <c r="H145" s="875"/>
      <c r="I145" s="875"/>
      <c r="J145" s="875"/>
      <c r="K145" s="875"/>
    </row>
    <row r="146" spans="2:11" ht="18.75" customHeight="1">
      <c r="B146" s="72"/>
      <c r="C146" s="72"/>
      <c r="D146" s="72"/>
      <c r="E146" s="876">
        <f>E12</f>
        <v>1402</v>
      </c>
      <c r="F146" s="876"/>
      <c r="G146" s="876"/>
      <c r="H146" s="876"/>
      <c r="I146" s="876"/>
      <c r="J146" s="31">
        <f>J12</f>
        <v>0</v>
      </c>
      <c r="K146" s="32">
        <f>K12</f>
        <v>1401</v>
      </c>
    </row>
    <row r="147" spans="2:11" ht="18.75" customHeight="1">
      <c r="B147" s="45"/>
      <c r="C147"/>
      <c r="D147" s="45"/>
      <c r="E147" s="190" t="s">
        <v>18</v>
      </c>
      <c r="F147" s="2"/>
      <c r="G147" s="190" t="s">
        <v>19</v>
      </c>
      <c r="H147" s="2"/>
      <c r="I147" s="190" t="s">
        <v>24</v>
      </c>
      <c r="J147" s="31"/>
      <c r="K147" s="326" t="s">
        <v>18</v>
      </c>
    </row>
    <row r="148" spans="2:11" ht="18.75" customHeight="1">
      <c r="B148" s="45"/>
      <c r="C148"/>
      <c r="D148" s="45"/>
      <c r="E148" s="58" t="s">
        <v>103</v>
      </c>
      <c r="F148" s="58"/>
      <c r="G148" s="58" t="s">
        <v>103</v>
      </c>
      <c r="H148" s="58"/>
      <c r="I148" s="58" t="s">
        <v>103</v>
      </c>
      <c r="J148" s="1"/>
      <c r="K148" s="58" t="s">
        <v>103</v>
      </c>
    </row>
    <row r="149" spans="2:11" ht="18.75" customHeight="1">
      <c r="B149" s="45" t="s">
        <v>885</v>
      </c>
      <c r="C149"/>
      <c r="D149" s="45"/>
      <c r="E149" s="314">
        <v>69090449078</v>
      </c>
      <c r="F149" s="58"/>
      <c r="G149" s="58">
        <v>0</v>
      </c>
      <c r="H149" s="58"/>
      <c r="I149" s="314">
        <f>G149+E149</f>
        <v>69090449078</v>
      </c>
      <c r="J149" s="1"/>
      <c r="K149" s="314">
        <v>34702847651</v>
      </c>
    </row>
    <row r="150" spans="2:11" ht="18.75" customHeight="1">
      <c r="B150" s="45" t="s">
        <v>886</v>
      </c>
      <c r="C150"/>
      <c r="D150" s="45"/>
      <c r="E150" s="314">
        <v>64199927</v>
      </c>
      <c r="F150" s="58"/>
      <c r="G150" s="58">
        <v>0</v>
      </c>
      <c r="H150" s="58"/>
      <c r="I150" s="314">
        <f t="shared" ref="I150:I168" si="5">G150+E150</f>
        <v>64199927</v>
      </c>
      <c r="J150" s="1"/>
      <c r="K150" s="314">
        <v>6599521816</v>
      </c>
    </row>
    <row r="151" spans="2:11" ht="18.75" customHeight="1">
      <c r="B151" s="45" t="s">
        <v>887</v>
      </c>
      <c r="C151"/>
      <c r="D151" s="45"/>
      <c r="E151" s="314">
        <v>20471078700</v>
      </c>
      <c r="F151" s="58"/>
      <c r="G151" s="58">
        <v>0</v>
      </c>
      <c r="H151" s="58"/>
      <c r="I151" s="314">
        <f t="shared" si="5"/>
        <v>20471078700</v>
      </c>
      <c r="J151" s="1"/>
      <c r="K151" s="314">
        <v>8618296660</v>
      </c>
    </row>
    <row r="152" spans="2:11" ht="18.75" customHeight="1">
      <c r="B152" s="45" t="s">
        <v>888</v>
      </c>
      <c r="C152"/>
      <c r="D152" s="45"/>
      <c r="E152" s="314">
        <v>1449310242</v>
      </c>
      <c r="F152" s="58"/>
      <c r="G152" s="58">
        <v>0</v>
      </c>
      <c r="H152" s="58"/>
      <c r="I152" s="314">
        <f t="shared" si="5"/>
        <v>1449310242</v>
      </c>
      <c r="J152" s="1"/>
      <c r="K152" s="314">
        <v>3899136139</v>
      </c>
    </row>
    <row r="153" spans="2:11" ht="18.75" customHeight="1">
      <c r="B153" s="45" t="s">
        <v>889</v>
      </c>
      <c r="C153"/>
      <c r="D153" s="45"/>
      <c r="E153" s="314">
        <v>14410900190</v>
      </c>
      <c r="F153" s="58"/>
      <c r="G153" s="58">
        <v>0</v>
      </c>
      <c r="H153" s="58"/>
      <c r="I153" s="314">
        <f t="shared" si="5"/>
        <v>14410900190</v>
      </c>
      <c r="J153" s="1"/>
      <c r="K153" s="314">
        <v>17512995450</v>
      </c>
    </row>
    <row r="154" spans="2:11" ht="18.75" customHeight="1">
      <c r="B154" s="45" t="s">
        <v>890</v>
      </c>
      <c r="C154"/>
      <c r="D154" s="45"/>
      <c r="E154" s="314">
        <v>12425283000</v>
      </c>
      <c r="F154" s="58"/>
      <c r="G154" s="58">
        <v>0</v>
      </c>
      <c r="H154" s="58"/>
      <c r="I154" s="314">
        <f t="shared" si="5"/>
        <v>12425283000</v>
      </c>
      <c r="J154" s="1"/>
      <c r="K154" s="314">
        <v>7619767887</v>
      </c>
    </row>
    <row r="155" spans="2:11" ht="18.75" customHeight="1">
      <c r="B155" s="45" t="s">
        <v>891</v>
      </c>
      <c r="C155"/>
      <c r="D155" s="45"/>
      <c r="E155" s="314">
        <v>3399138749</v>
      </c>
      <c r="F155" s="58"/>
      <c r="G155" s="58">
        <v>0</v>
      </c>
      <c r="H155" s="58"/>
      <c r="I155" s="314">
        <f t="shared" si="5"/>
        <v>3399138749</v>
      </c>
      <c r="J155" s="1"/>
      <c r="K155" s="314">
        <v>168200745</v>
      </c>
    </row>
    <row r="156" spans="2:11" ht="18.75" customHeight="1">
      <c r="B156" s="45" t="s">
        <v>892</v>
      </c>
      <c r="C156"/>
      <c r="D156" s="45"/>
      <c r="E156" s="314">
        <v>436764580</v>
      </c>
      <c r="F156" s="58"/>
      <c r="G156" s="58">
        <v>0</v>
      </c>
      <c r="H156" s="58"/>
      <c r="I156" s="314">
        <f t="shared" si="5"/>
        <v>436764580</v>
      </c>
      <c r="J156" s="1"/>
      <c r="K156" s="314">
        <v>3000062887</v>
      </c>
    </row>
    <row r="157" spans="2:11" ht="18.75" customHeight="1">
      <c r="B157" s="45" t="s">
        <v>893</v>
      </c>
      <c r="C157"/>
      <c r="D157" s="45"/>
      <c r="E157" s="314">
        <v>6998740504</v>
      </c>
      <c r="F157" s="58"/>
      <c r="G157" s="58">
        <v>0</v>
      </c>
      <c r="H157" s="58"/>
      <c r="I157" s="314">
        <f t="shared" si="5"/>
        <v>6998740504</v>
      </c>
      <c r="J157" s="1"/>
      <c r="K157" s="314">
        <v>1696167202</v>
      </c>
    </row>
    <row r="158" spans="2:11" ht="18.75" customHeight="1">
      <c r="B158" s="45" t="s">
        <v>894</v>
      </c>
      <c r="C158"/>
      <c r="D158" s="45"/>
      <c r="E158" s="314">
        <v>4038000001</v>
      </c>
      <c r="F158" s="58"/>
      <c r="G158" s="58">
        <v>0</v>
      </c>
      <c r="H158" s="58"/>
      <c r="I158" s="314">
        <f t="shared" si="5"/>
        <v>4038000001</v>
      </c>
      <c r="J158" s="1"/>
      <c r="K158" s="314">
        <v>4365167203</v>
      </c>
    </row>
    <row r="159" spans="2:11" ht="18.75" customHeight="1">
      <c r="B159" s="45" t="s">
        <v>895</v>
      </c>
      <c r="C159"/>
      <c r="D159" s="45"/>
      <c r="E159" s="314">
        <v>763846000</v>
      </c>
      <c r="F159" s="58"/>
      <c r="G159" s="58">
        <v>0</v>
      </c>
      <c r="H159" s="58"/>
      <c r="I159" s="314">
        <f t="shared" si="5"/>
        <v>763846000</v>
      </c>
      <c r="J159" s="1"/>
      <c r="K159" s="314">
        <v>7616500</v>
      </c>
    </row>
    <row r="160" spans="2:11" ht="18.75" customHeight="1">
      <c r="B160" s="45" t="s">
        <v>896</v>
      </c>
      <c r="C160"/>
      <c r="D160" s="45"/>
      <c r="E160" s="58">
        <v>0</v>
      </c>
      <c r="F160" s="58"/>
      <c r="G160" s="58">
        <v>0</v>
      </c>
      <c r="H160" s="58"/>
      <c r="I160" s="58">
        <f t="shared" si="5"/>
        <v>0</v>
      </c>
      <c r="J160" s="1"/>
      <c r="K160" s="314">
        <v>1223374805</v>
      </c>
    </row>
    <row r="161" spans="2:15" ht="18.75" customHeight="1">
      <c r="B161" s="45" t="s">
        <v>897</v>
      </c>
      <c r="C161" s="57"/>
      <c r="D161" s="45"/>
      <c r="E161" s="314">
        <v>378366590</v>
      </c>
      <c r="F161" s="58"/>
      <c r="G161" s="139">
        <v>0</v>
      </c>
      <c r="H161" s="58"/>
      <c r="I161" s="314">
        <f t="shared" si="5"/>
        <v>378366590</v>
      </c>
      <c r="K161" s="314">
        <v>665903783</v>
      </c>
    </row>
    <row r="162" spans="2:15" ht="18.75" customHeight="1">
      <c r="B162" s="45" t="s">
        <v>898</v>
      </c>
      <c r="C162" s="57"/>
      <c r="D162" s="45"/>
      <c r="E162" s="314">
        <v>106868950357</v>
      </c>
      <c r="F162" s="58"/>
      <c r="G162" s="139">
        <v>0</v>
      </c>
      <c r="H162" s="58"/>
      <c r="I162" s="314">
        <f t="shared" si="5"/>
        <v>106868950357</v>
      </c>
      <c r="K162" s="314">
        <v>166544346291</v>
      </c>
    </row>
    <row r="163" spans="2:15" ht="18.75" customHeight="1">
      <c r="B163" s="663" t="s">
        <v>1305</v>
      </c>
      <c r="C163" s="57"/>
      <c r="D163" s="663"/>
      <c r="E163" s="314">
        <v>14190945981</v>
      </c>
      <c r="F163" s="58"/>
      <c r="G163" s="139"/>
      <c r="H163" s="58"/>
      <c r="I163" s="314"/>
      <c r="K163" s="314">
        <v>9776030220</v>
      </c>
    </row>
    <row r="164" spans="2:15" ht="18.75" customHeight="1">
      <c r="B164" s="663" t="s">
        <v>1306</v>
      </c>
      <c r="C164" s="57"/>
      <c r="D164" s="663"/>
      <c r="E164" s="314">
        <v>6998740504</v>
      </c>
      <c r="F164" s="314"/>
      <c r="G164" s="314"/>
      <c r="H164" s="58"/>
      <c r="I164" s="314"/>
      <c r="K164" s="314">
        <v>1372869839</v>
      </c>
      <c r="L164" s="314"/>
    </row>
    <row r="165" spans="2:15" ht="18.75" customHeight="1">
      <c r="B165" s="663" t="s">
        <v>1307</v>
      </c>
      <c r="C165" s="57"/>
      <c r="D165" s="663"/>
      <c r="E165" s="314">
        <v>11250000000</v>
      </c>
      <c r="F165" s="314"/>
      <c r="G165" s="314"/>
      <c r="H165" s="58"/>
      <c r="I165" s="314"/>
      <c r="K165" s="314">
        <v>5700000000</v>
      </c>
    </row>
    <row r="166" spans="2:15" ht="18.75" customHeight="1">
      <c r="B166" s="663" t="s">
        <v>799</v>
      </c>
      <c r="C166" s="57"/>
      <c r="D166" s="663"/>
      <c r="E166" s="314">
        <v>7466403500</v>
      </c>
      <c r="F166" s="314"/>
      <c r="G166" s="314"/>
      <c r="H166" s="58"/>
      <c r="I166" s="314"/>
      <c r="K166" s="314">
        <v>4943335300</v>
      </c>
    </row>
    <row r="167" spans="2:15" ht="18.75" customHeight="1">
      <c r="B167" s="45" t="s">
        <v>899</v>
      </c>
      <c r="C167" s="57"/>
      <c r="D167" s="45"/>
      <c r="E167" s="314">
        <v>436284880812</v>
      </c>
      <c r="F167" s="58"/>
      <c r="G167" s="139">
        <v>0</v>
      </c>
      <c r="H167" s="58"/>
      <c r="I167" s="314">
        <f t="shared" si="5"/>
        <v>436284880812</v>
      </c>
      <c r="K167" s="314">
        <v>170084914020</v>
      </c>
      <c r="O167" s="5">
        <f>K167-K166-K165-K164-K163</f>
        <v>148292678661</v>
      </c>
    </row>
    <row r="168" spans="2:15" ht="18.75" customHeight="1" thickBot="1">
      <c r="B168" s="45"/>
      <c r="C168" s="45"/>
      <c r="D168" s="45"/>
      <c r="E168" s="323">
        <f>SUM(E149:E167)</f>
        <v>716985998715</v>
      </c>
      <c r="F168" s="58"/>
      <c r="G168" s="142">
        <f>SUM(G161:G167)</f>
        <v>0</v>
      </c>
      <c r="H168" s="58"/>
      <c r="I168" s="323">
        <f t="shared" si="5"/>
        <v>716985998715</v>
      </c>
      <c r="K168" s="323">
        <f>SUM(K149:K167)</f>
        <v>448500554398</v>
      </c>
    </row>
    <row r="169" spans="2:15" ht="9" customHeight="1" thickTop="1">
      <c r="B169" s="45"/>
      <c r="C169" s="45"/>
      <c r="D169" s="45"/>
      <c r="E169" s="492"/>
      <c r="F169" s="58"/>
      <c r="G169" s="139"/>
      <c r="H169" s="58"/>
      <c r="I169" s="492"/>
      <c r="K169" s="492"/>
    </row>
    <row r="170" spans="2:15" ht="18.75" customHeight="1">
      <c r="B170" s="878" t="s">
        <v>1209</v>
      </c>
      <c r="C170" s="878"/>
      <c r="D170" s="878"/>
      <c r="E170" s="878"/>
      <c r="F170" s="878"/>
      <c r="G170" s="878"/>
      <c r="H170" s="878"/>
      <c r="I170" s="878"/>
      <c r="J170" s="878"/>
      <c r="K170" s="878"/>
    </row>
    <row r="171" spans="2:15" ht="12.75" customHeight="1">
      <c r="B171" s="45"/>
      <c r="C171" s="45"/>
      <c r="D171" s="45"/>
      <c r="E171" s="58"/>
      <c r="F171" s="58"/>
      <c r="G171" s="58"/>
      <c r="H171" s="58"/>
      <c r="I171" s="58"/>
      <c r="K171" s="58"/>
    </row>
    <row r="172" spans="2:15" ht="24" customHeight="1">
      <c r="B172" s="875" t="s">
        <v>1210</v>
      </c>
      <c r="C172" s="875"/>
      <c r="D172" s="875"/>
      <c r="E172" s="875"/>
      <c r="F172" s="875"/>
      <c r="G172" s="875"/>
      <c r="H172" s="875"/>
      <c r="I172" s="875"/>
      <c r="J172" s="875"/>
      <c r="K172" s="875"/>
    </row>
    <row r="173" spans="2:15" ht="18.75" customHeight="1">
      <c r="B173" s="72"/>
      <c r="C173" s="72"/>
      <c r="D173" s="72"/>
      <c r="E173" s="876">
        <f>E12</f>
        <v>1402</v>
      </c>
      <c r="F173" s="876"/>
      <c r="G173" s="876"/>
      <c r="H173" s="876"/>
      <c r="I173" s="876"/>
      <c r="J173" s="31">
        <f>J12</f>
        <v>0</v>
      </c>
      <c r="K173" s="32">
        <f>K12</f>
        <v>1401</v>
      </c>
    </row>
    <row r="174" spans="2:15" ht="18.75" customHeight="1">
      <c r="B174" s="45"/>
      <c r="C174"/>
      <c r="D174" s="45"/>
      <c r="E174" s="190" t="s">
        <v>18</v>
      </c>
      <c r="F174" s="2"/>
      <c r="G174" s="190" t="s">
        <v>19</v>
      </c>
      <c r="H174" s="2"/>
      <c r="I174" s="190" t="s">
        <v>24</v>
      </c>
      <c r="J174" s="31"/>
      <c r="K174" s="326" t="s">
        <v>18</v>
      </c>
    </row>
    <row r="175" spans="2:15" ht="18.75" customHeight="1">
      <c r="B175" s="45"/>
      <c r="C175"/>
      <c r="D175" s="45"/>
      <c r="E175" s="58" t="s">
        <v>103</v>
      </c>
      <c r="F175" s="58"/>
      <c r="G175" s="58" t="s">
        <v>103</v>
      </c>
      <c r="H175" s="58"/>
      <c r="I175" s="58" t="s">
        <v>103</v>
      </c>
      <c r="J175" s="1"/>
      <c r="K175" s="58" t="s">
        <v>103</v>
      </c>
    </row>
    <row r="176" spans="2:15" ht="18.75" customHeight="1">
      <c r="B176" s="45" t="s">
        <v>900</v>
      </c>
      <c r="C176"/>
      <c r="D176" s="45"/>
      <c r="E176" s="314">
        <v>4221724172</v>
      </c>
      <c r="F176" s="58"/>
      <c r="G176" s="58">
        <v>0</v>
      </c>
      <c r="H176" s="58"/>
      <c r="I176" s="314">
        <f>G176+E176</f>
        <v>4221724172</v>
      </c>
      <c r="J176" s="1"/>
      <c r="K176" s="314">
        <v>126003619881</v>
      </c>
    </row>
    <row r="177" spans="2:11" ht="18.75" customHeight="1">
      <c r="B177" s="45" t="s">
        <v>901</v>
      </c>
      <c r="C177"/>
      <c r="D177" s="45"/>
      <c r="E177" s="314">
        <v>21303283112</v>
      </c>
      <c r="F177" s="58"/>
      <c r="G177" s="58">
        <v>0</v>
      </c>
      <c r="H177" s="58"/>
      <c r="I177" s="314">
        <f t="shared" ref="I177:I186" si="6">G177+E177</f>
        <v>21303283112</v>
      </c>
      <c r="J177" s="1"/>
      <c r="K177" s="314">
        <v>68156751622</v>
      </c>
    </row>
    <row r="178" spans="2:11" ht="18.75" customHeight="1">
      <c r="B178" s="45" t="s">
        <v>902</v>
      </c>
      <c r="C178"/>
      <c r="D178" s="45"/>
      <c r="E178" s="58">
        <v>0</v>
      </c>
      <c r="F178" s="58"/>
      <c r="G178" s="58">
        <v>0</v>
      </c>
      <c r="H178" s="58"/>
      <c r="I178" s="58">
        <f t="shared" si="6"/>
        <v>0</v>
      </c>
      <c r="J178" s="1"/>
      <c r="K178" s="314">
        <v>11228528881</v>
      </c>
    </row>
    <row r="179" spans="2:11" ht="18.75" customHeight="1">
      <c r="B179" s="45" t="s">
        <v>801</v>
      </c>
      <c r="C179"/>
      <c r="D179" s="45"/>
      <c r="E179" s="314">
        <v>14571957099</v>
      </c>
      <c r="F179" s="58"/>
      <c r="G179" s="58">
        <v>0</v>
      </c>
      <c r="H179" s="58"/>
      <c r="I179" s="314">
        <f t="shared" si="6"/>
        <v>14571957099</v>
      </c>
      <c r="J179" s="1"/>
      <c r="K179" s="314">
        <v>38831713859</v>
      </c>
    </row>
    <row r="180" spans="2:11" ht="18.75" customHeight="1">
      <c r="B180" s="45" t="s">
        <v>800</v>
      </c>
      <c r="C180" s="57"/>
      <c r="D180" s="45"/>
      <c r="E180" s="314">
        <v>20497662085</v>
      </c>
      <c r="F180" s="58"/>
      <c r="G180" s="139">
        <v>0</v>
      </c>
      <c r="H180" s="58"/>
      <c r="I180" s="314">
        <f t="shared" si="6"/>
        <v>20497662085</v>
      </c>
      <c r="K180" s="314">
        <v>6416813516</v>
      </c>
    </row>
    <row r="181" spans="2:11" ht="18.75" customHeight="1">
      <c r="B181" s="45" t="s">
        <v>903</v>
      </c>
      <c r="C181" s="57"/>
      <c r="D181" s="45"/>
      <c r="E181" s="314">
        <v>6253984000</v>
      </c>
      <c r="F181" s="58"/>
      <c r="G181" s="139">
        <v>0</v>
      </c>
      <c r="H181" s="58"/>
      <c r="I181" s="314">
        <f t="shared" si="6"/>
        <v>6253984000</v>
      </c>
      <c r="K181" s="314">
        <v>43440642000</v>
      </c>
    </row>
    <row r="182" spans="2:11" ht="18.75" customHeight="1">
      <c r="B182" s="45" t="s">
        <v>1145</v>
      </c>
      <c r="C182" s="57"/>
      <c r="D182" s="45"/>
      <c r="E182" s="314">
        <v>98450706232</v>
      </c>
      <c r="F182" s="58"/>
      <c r="G182" s="139"/>
      <c r="H182" s="58"/>
      <c r="I182" s="314"/>
      <c r="K182" s="314">
        <v>18050565698</v>
      </c>
    </row>
    <row r="183" spans="2:11" ht="18.75" customHeight="1">
      <c r="B183" s="45" t="s">
        <v>796</v>
      </c>
      <c r="C183" s="57"/>
      <c r="D183" s="45"/>
      <c r="E183" s="314">
        <v>1327257817</v>
      </c>
      <c r="F183" s="58"/>
      <c r="G183" s="139"/>
      <c r="H183" s="58"/>
      <c r="I183" s="314"/>
      <c r="K183" s="139">
        <v>0</v>
      </c>
    </row>
    <row r="184" spans="2:11" ht="18.75" customHeight="1">
      <c r="B184" s="45" t="s">
        <v>1146</v>
      </c>
      <c r="C184" s="57"/>
      <c r="D184" s="45"/>
      <c r="E184" s="314">
        <v>5888000000</v>
      </c>
      <c r="F184" s="58"/>
      <c r="G184" s="139"/>
      <c r="H184" s="58"/>
      <c r="I184" s="314"/>
      <c r="K184" s="139">
        <v>0</v>
      </c>
    </row>
    <row r="185" spans="2:11" ht="18.75" customHeight="1">
      <c r="B185" s="45" t="s">
        <v>779</v>
      </c>
      <c r="C185" s="57"/>
      <c r="D185" s="45"/>
      <c r="E185" s="314">
        <v>98792530487</v>
      </c>
      <c r="F185" s="58"/>
      <c r="G185" s="139">
        <v>0</v>
      </c>
      <c r="H185" s="58"/>
      <c r="I185" s="314">
        <f t="shared" si="6"/>
        <v>98792530487</v>
      </c>
      <c r="K185" s="314">
        <v>20068807505</v>
      </c>
    </row>
    <row r="186" spans="2:11" ht="18.75" customHeight="1" thickBot="1">
      <c r="B186" s="45"/>
      <c r="C186" s="45"/>
      <c r="D186" s="45"/>
      <c r="E186" s="323">
        <f>SUM(E180:E185)</f>
        <v>231210140621</v>
      </c>
      <c r="F186" s="58"/>
      <c r="G186" s="142">
        <f>SUM(G180:G185)</f>
        <v>0</v>
      </c>
      <c r="H186" s="58"/>
      <c r="I186" s="323">
        <f t="shared" si="6"/>
        <v>231210140621</v>
      </c>
      <c r="K186" s="323">
        <f>SUM(K176:K185)</f>
        <v>332197442962</v>
      </c>
    </row>
    <row r="187" spans="2:11" ht="10.5" customHeight="1" thickTop="1">
      <c r="B187" s="45"/>
      <c r="C187" s="45"/>
      <c r="D187" s="45"/>
      <c r="E187" s="492"/>
      <c r="F187" s="58"/>
      <c r="G187" s="139"/>
      <c r="H187" s="58"/>
      <c r="I187" s="492"/>
      <c r="K187" s="492"/>
    </row>
    <row r="188" spans="2:11" ht="18.75" customHeight="1">
      <c r="B188" s="878" t="s">
        <v>1211</v>
      </c>
      <c r="C188" s="878"/>
      <c r="D188" s="878"/>
      <c r="E188" s="878"/>
      <c r="F188" s="878"/>
      <c r="G188" s="878"/>
      <c r="H188" s="878"/>
      <c r="I188" s="878"/>
      <c r="J188" s="878"/>
      <c r="K188" s="878"/>
    </row>
    <row r="189" spans="2:11" ht="24" customHeight="1">
      <c r="B189" s="794" t="s">
        <v>1212</v>
      </c>
      <c r="C189" s="794"/>
      <c r="D189" s="794"/>
      <c r="E189" s="794"/>
      <c r="F189" s="794"/>
      <c r="G189" s="794"/>
      <c r="H189" s="794"/>
      <c r="I189" s="794"/>
      <c r="J189" s="794"/>
      <c r="K189" s="794"/>
    </row>
    <row r="190" spans="2:11" ht="18.75" customHeight="1">
      <c r="B190" s="16"/>
      <c r="C190" s="16"/>
      <c r="D190" s="14"/>
      <c r="E190" s="876">
        <f>E12</f>
        <v>1402</v>
      </c>
      <c r="F190" s="876"/>
      <c r="G190" s="876"/>
      <c r="H190" s="876"/>
      <c r="I190" s="876"/>
      <c r="J190" s="31">
        <f>J12</f>
        <v>0</v>
      </c>
      <c r="K190" s="32">
        <f>K12</f>
        <v>1401</v>
      </c>
    </row>
    <row r="191" spans="2:11" ht="18.75" customHeight="1">
      <c r="B191" s="3"/>
      <c r="C191" s="327" t="s">
        <v>116</v>
      </c>
      <c r="E191" s="190" t="s">
        <v>18</v>
      </c>
      <c r="F191" s="2"/>
      <c r="G191" s="190" t="s">
        <v>19</v>
      </c>
      <c r="H191" s="2"/>
      <c r="I191" s="190" t="s">
        <v>24</v>
      </c>
      <c r="J191" s="31"/>
      <c r="K191" s="326" t="s">
        <v>18</v>
      </c>
    </row>
    <row r="192" spans="2:11" ht="18.75" customHeight="1">
      <c r="B192" s="1"/>
      <c r="C192" s="1"/>
      <c r="D192" s="1"/>
      <c r="E192" s="58" t="s">
        <v>103</v>
      </c>
      <c r="F192" s="58"/>
      <c r="G192" s="58" t="s">
        <v>103</v>
      </c>
      <c r="H192" s="58"/>
      <c r="I192" s="58" t="s">
        <v>103</v>
      </c>
      <c r="J192" s="1"/>
      <c r="K192" s="58" t="s">
        <v>103</v>
      </c>
    </row>
    <row r="193" spans="2:18" ht="18.75" customHeight="1">
      <c r="B193" s="3" t="s">
        <v>297</v>
      </c>
      <c r="C193" s="3" t="s">
        <v>1296</v>
      </c>
      <c r="D193" s="1"/>
      <c r="E193" s="314">
        <v>684199560442</v>
      </c>
      <c r="F193" s="58"/>
      <c r="G193" s="139">
        <v>0</v>
      </c>
      <c r="H193" s="58"/>
      <c r="I193" s="314">
        <f t="shared" ref="I193:I198" si="7">G193+E193</f>
        <v>684199560442</v>
      </c>
      <c r="J193" s="1"/>
      <c r="K193" s="314">
        <v>477979342078</v>
      </c>
    </row>
    <row r="194" spans="2:18" ht="18.75" customHeight="1">
      <c r="B194" s="3" t="s">
        <v>273</v>
      </c>
      <c r="C194" s="3" t="s">
        <v>1297</v>
      </c>
      <c r="D194" s="1"/>
      <c r="E194" s="314">
        <v>461171933631</v>
      </c>
      <c r="F194" s="58"/>
      <c r="G194" s="139">
        <v>0</v>
      </c>
      <c r="H194" s="58"/>
      <c r="I194" s="314">
        <f t="shared" si="7"/>
        <v>461171933631</v>
      </c>
      <c r="J194" s="1"/>
      <c r="K194" s="314">
        <v>315270187071</v>
      </c>
    </row>
    <row r="195" spans="2:18" ht="18.75" customHeight="1">
      <c r="B195" s="3" t="s">
        <v>271</v>
      </c>
      <c r="C195" s="3" t="s">
        <v>1298</v>
      </c>
      <c r="D195" s="1"/>
      <c r="E195" s="314">
        <v>69836653055</v>
      </c>
      <c r="F195" s="58"/>
      <c r="G195" s="139">
        <v>0</v>
      </c>
      <c r="H195" s="58"/>
      <c r="I195" s="314">
        <f t="shared" si="7"/>
        <v>69836653055</v>
      </c>
      <c r="J195" s="1"/>
      <c r="K195" s="314">
        <v>38446912489</v>
      </c>
      <c r="R195" s="43"/>
    </row>
    <row r="196" spans="2:18" ht="18.75" customHeight="1">
      <c r="B196" s="3" t="s">
        <v>904</v>
      </c>
      <c r="C196" s="3"/>
      <c r="D196" s="1"/>
      <c r="E196" s="314">
        <v>327962139448</v>
      </c>
      <c r="F196" s="58"/>
      <c r="G196" s="139">
        <v>0</v>
      </c>
      <c r="H196" s="58"/>
      <c r="I196" s="314">
        <f t="shared" si="7"/>
        <v>327962139448</v>
      </c>
      <c r="J196" s="1"/>
      <c r="K196" s="314">
        <v>206155845621</v>
      </c>
      <c r="R196" s="43"/>
    </row>
    <row r="197" spans="2:18" ht="18.75" customHeight="1">
      <c r="B197" s="3" t="s">
        <v>272</v>
      </c>
      <c r="C197" s="3" t="s">
        <v>1299</v>
      </c>
      <c r="D197" s="1"/>
      <c r="E197" s="314">
        <v>432132029076</v>
      </c>
      <c r="F197" s="58"/>
      <c r="G197" s="139">
        <v>0</v>
      </c>
      <c r="H197" s="58"/>
      <c r="I197" s="314">
        <f t="shared" si="7"/>
        <v>432132029076</v>
      </c>
      <c r="J197" s="1"/>
      <c r="K197" s="314">
        <v>333602523292</v>
      </c>
      <c r="R197" s="43"/>
    </row>
    <row r="198" spans="2:18" ht="18.75" customHeight="1">
      <c r="B198" s="67" t="s">
        <v>274</v>
      </c>
      <c r="C198" s="3" t="s">
        <v>1300</v>
      </c>
      <c r="D198" s="1"/>
      <c r="E198" s="314">
        <v>452457114855</v>
      </c>
      <c r="F198" s="58"/>
      <c r="G198" s="139">
        <v>0</v>
      </c>
      <c r="H198" s="58"/>
      <c r="I198" s="314">
        <f t="shared" si="7"/>
        <v>452457114855</v>
      </c>
      <c r="J198" s="1"/>
      <c r="K198" s="314">
        <v>381399472106</v>
      </c>
    </row>
    <row r="199" spans="2:18" ht="18.75" customHeight="1" thickBot="1">
      <c r="E199" s="316">
        <f>SUM(E193:E198)</f>
        <v>2427759430507</v>
      </c>
      <c r="F199" s="2"/>
      <c r="G199" s="140">
        <f>SUM(G193:G198)</f>
        <v>0</v>
      </c>
      <c r="H199" s="2"/>
      <c r="I199" s="316">
        <f>SUM(I193:I198)</f>
        <v>2427759430507</v>
      </c>
      <c r="J199" s="1"/>
      <c r="K199" s="316">
        <f>SUM(K193:K198)</f>
        <v>1752854282657</v>
      </c>
    </row>
    <row r="200" spans="2:18" ht="9" customHeight="1" thickTop="1">
      <c r="E200" s="137"/>
      <c r="F200" s="2"/>
      <c r="G200" s="133"/>
      <c r="H200" s="2"/>
      <c r="I200" s="137"/>
      <c r="J200" s="1"/>
      <c r="K200" s="137"/>
    </row>
    <row r="201" spans="2:18" ht="21.75" customHeight="1">
      <c r="B201" s="878" t="s">
        <v>1285</v>
      </c>
      <c r="C201" s="878"/>
      <c r="D201" s="878"/>
      <c r="E201" s="878"/>
      <c r="F201" s="878"/>
      <c r="G201" s="878"/>
      <c r="H201" s="878"/>
      <c r="I201" s="878"/>
      <c r="J201" s="878"/>
      <c r="K201" s="878"/>
    </row>
    <row r="202" spans="2:18" ht="18.75" customHeight="1">
      <c r="B202" s="878" t="s">
        <v>1286</v>
      </c>
      <c r="C202" s="878"/>
      <c r="D202" s="878"/>
      <c r="E202" s="878"/>
      <c r="F202" s="878"/>
      <c r="G202" s="878"/>
      <c r="H202" s="878"/>
      <c r="I202" s="878"/>
      <c r="J202" s="878"/>
      <c r="K202" s="878"/>
    </row>
    <row r="203" spans="2:18" ht="18.75" customHeight="1">
      <c r="B203" s="878" t="s">
        <v>1213</v>
      </c>
      <c r="C203" s="878"/>
      <c r="D203" s="878"/>
      <c r="E203" s="878"/>
      <c r="F203" s="878"/>
      <c r="G203" s="878"/>
      <c r="H203" s="878"/>
      <c r="I203" s="878"/>
      <c r="J203" s="878"/>
      <c r="K203" s="878"/>
    </row>
    <row r="204" spans="2:18" ht="18.75" customHeight="1">
      <c r="B204" s="878" t="s">
        <v>1214</v>
      </c>
      <c r="C204" s="878"/>
      <c r="D204" s="878"/>
      <c r="E204" s="878"/>
      <c r="F204" s="878"/>
      <c r="G204" s="878"/>
      <c r="H204" s="878"/>
      <c r="I204" s="878"/>
      <c r="J204" s="878"/>
      <c r="K204" s="878"/>
    </row>
    <row r="205" spans="2:18" ht="18.75" customHeight="1">
      <c r="B205" s="878" t="s">
        <v>1215</v>
      </c>
      <c r="C205" s="878"/>
      <c r="D205" s="878"/>
      <c r="E205" s="878"/>
      <c r="F205" s="878"/>
      <c r="G205" s="878"/>
      <c r="H205" s="878"/>
      <c r="I205" s="878"/>
      <c r="J205" s="878"/>
      <c r="K205" s="878"/>
      <c r="L205" s="478"/>
    </row>
    <row r="206" spans="2:18" ht="18.75" customHeight="1">
      <c r="B206" s="878" t="s">
        <v>1216</v>
      </c>
      <c r="C206" s="878"/>
      <c r="D206" s="878"/>
      <c r="E206" s="878"/>
      <c r="F206" s="878"/>
      <c r="G206" s="878"/>
      <c r="H206" s="878"/>
      <c r="I206" s="878"/>
      <c r="J206" s="878"/>
      <c r="K206" s="878"/>
    </row>
    <row r="207" spans="2:18" ht="24" customHeight="1">
      <c r="B207" s="875" t="s">
        <v>1217</v>
      </c>
      <c r="C207" s="875"/>
      <c r="D207" s="875"/>
      <c r="E207" s="875"/>
      <c r="F207" s="875"/>
      <c r="G207" s="875"/>
      <c r="H207" s="875"/>
      <c r="I207" s="875"/>
      <c r="J207" s="875"/>
      <c r="K207" s="875"/>
    </row>
    <row r="208" spans="2:18" ht="18.75" customHeight="1">
      <c r="B208" s="16"/>
      <c r="C208" s="16"/>
      <c r="D208" s="14"/>
      <c r="E208" s="876">
        <f>E12</f>
        <v>1402</v>
      </c>
      <c r="F208" s="876"/>
      <c r="G208" s="876"/>
      <c r="H208" s="876"/>
      <c r="I208" s="876"/>
      <c r="J208" s="31">
        <f>J12</f>
        <v>0</v>
      </c>
      <c r="K208" s="32">
        <f>K12</f>
        <v>1401</v>
      </c>
    </row>
    <row r="209" spans="2:11" ht="18.75" customHeight="1">
      <c r="B209" s="3"/>
      <c r="C209" s="327" t="s">
        <v>116</v>
      </c>
      <c r="E209" s="190" t="s">
        <v>18</v>
      </c>
      <c r="F209" s="2"/>
      <c r="G209" s="190" t="s">
        <v>19</v>
      </c>
      <c r="H209" s="2"/>
      <c r="I209" s="190" t="s">
        <v>24</v>
      </c>
      <c r="J209" s="31"/>
      <c r="K209" s="326" t="s">
        <v>18</v>
      </c>
    </row>
    <row r="210" spans="2:11" ht="18.75" customHeight="1">
      <c r="B210" s="1"/>
      <c r="C210" s="1"/>
      <c r="D210" s="1"/>
      <c r="E210" s="58" t="s">
        <v>103</v>
      </c>
      <c r="F210" s="58"/>
      <c r="G210" s="58" t="s">
        <v>103</v>
      </c>
      <c r="H210" s="58"/>
      <c r="I210" s="58" t="s">
        <v>103</v>
      </c>
      <c r="J210" s="1"/>
      <c r="K210" s="58" t="s">
        <v>103</v>
      </c>
    </row>
    <row r="211" spans="2:11" ht="18.75" customHeight="1">
      <c r="B211" s="3" t="s">
        <v>76</v>
      </c>
      <c r="C211" s="53" t="s">
        <v>1301</v>
      </c>
      <c r="D211" s="1"/>
      <c r="E211" s="314">
        <f>E240</f>
        <v>166000874231</v>
      </c>
      <c r="F211" s="58"/>
      <c r="G211" s="139">
        <v>0</v>
      </c>
      <c r="H211" s="58"/>
      <c r="I211" s="314">
        <f>I240</f>
        <v>166000874231</v>
      </c>
      <c r="J211" s="1"/>
      <c r="K211" s="314">
        <f>K240</f>
        <v>254503891659</v>
      </c>
    </row>
    <row r="212" spans="2:11" ht="18.75" customHeight="1">
      <c r="B212" s="3" t="s">
        <v>389</v>
      </c>
      <c r="C212" s="53" t="s">
        <v>1302</v>
      </c>
      <c r="D212" s="1"/>
      <c r="E212" s="314">
        <f>E249</f>
        <v>2093929920</v>
      </c>
      <c r="F212" s="58"/>
      <c r="G212" s="139">
        <v>0</v>
      </c>
      <c r="H212" s="58"/>
      <c r="I212" s="314">
        <f>I249</f>
        <v>2093929920</v>
      </c>
      <c r="J212" s="1"/>
      <c r="K212" s="314">
        <f>K249</f>
        <v>396849286</v>
      </c>
    </row>
    <row r="213" spans="2:11" ht="18.75" customHeight="1">
      <c r="B213" s="3" t="s">
        <v>80</v>
      </c>
      <c r="C213" s="53"/>
      <c r="D213" s="1"/>
      <c r="E213" s="314">
        <v>1750000000</v>
      </c>
      <c r="F213" s="58"/>
      <c r="G213" s="139">
        <v>0</v>
      </c>
      <c r="H213" s="58"/>
      <c r="I213" s="314">
        <f>G213+E213</f>
        <v>1750000000</v>
      </c>
      <c r="J213" s="1"/>
      <c r="K213" s="139">
        <v>0</v>
      </c>
    </row>
    <row r="214" spans="2:11" ht="18.75" customHeight="1">
      <c r="B214" s="3" t="s">
        <v>79</v>
      </c>
      <c r="C214" s="53"/>
      <c r="D214" s="1"/>
      <c r="E214" s="314">
        <v>550000000</v>
      </c>
      <c r="F214" s="58"/>
      <c r="G214" s="139">
        <v>0</v>
      </c>
      <c r="H214" s="58"/>
      <c r="I214" s="314">
        <f>G214+E214</f>
        <v>550000000</v>
      </c>
      <c r="J214" s="1"/>
      <c r="K214" s="139">
        <v>0</v>
      </c>
    </row>
    <row r="215" spans="2:11" ht="18.75" customHeight="1">
      <c r="B215" s="143" t="s">
        <v>532</v>
      </c>
      <c r="C215" s="53" t="s">
        <v>1303</v>
      </c>
      <c r="D215" s="1"/>
      <c r="E215" s="314">
        <f>E258</f>
        <v>6271243610</v>
      </c>
      <c r="F215" s="58"/>
      <c r="G215" s="139">
        <v>0</v>
      </c>
      <c r="H215" s="58"/>
      <c r="I215" s="314">
        <f>G215+E215</f>
        <v>6271243610</v>
      </c>
      <c r="J215" s="1"/>
      <c r="K215" s="314">
        <f>K258</f>
        <v>1471168610</v>
      </c>
    </row>
    <row r="216" spans="2:11" ht="18.75" customHeight="1">
      <c r="B216" s="143" t="s">
        <v>905</v>
      </c>
      <c r="C216" s="53"/>
      <c r="D216" s="1"/>
      <c r="E216" s="314">
        <v>1104687860</v>
      </c>
      <c r="F216" s="58"/>
      <c r="G216" s="139">
        <v>0</v>
      </c>
      <c r="H216" s="58"/>
      <c r="I216" s="314">
        <f>G216+E216</f>
        <v>1104687860</v>
      </c>
      <c r="J216" s="1"/>
      <c r="K216" s="139">
        <v>0</v>
      </c>
    </row>
    <row r="217" spans="2:11" ht="18.75" customHeight="1" thickBot="1">
      <c r="E217" s="316">
        <f>SUM(E211:E216)</f>
        <v>177770735621</v>
      </c>
      <c r="F217" s="2"/>
      <c r="G217" s="140">
        <f>SUM(G211:G216)</f>
        <v>0</v>
      </c>
      <c r="H217" s="2"/>
      <c r="I217" s="316">
        <f>SUM(I211:I216)</f>
        <v>177770735621</v>
      </c>
      <c r="J217" s="1"/>
      <c r="K217" s="316">
        <f>SUM(K211:K215)</f>
        <v>256371909555</v>
      </c>
    </row>
    <row r="218" spans="2:11" ht="6.75" customHeight="1" thickTop="1"/>
    <row r="219" spans="2:11" ht="24" customHeight="1">
      <c r="B219" s="875" t="s">
        <v>1218</v>
      </c>
      <c r="C219" s="875"/>
      <c r="D219" s="875"/>
      <c r="E219" s="875"/>
      <c r="F219" s="875"/>
      <c r="G219" s="875"/>
      <c r="H219" s="875"/>
      <c r="I219" s="875"/>
      <c r="J219" s="875"/>
      <c r="K219" s="875"/>
    </row>
    <row r="220" spans="2:11" ht="18.75" customHeight="1">
      <c r="B220" s="16"/>
      <c r="C220" s="16"/>
      <c r="D220" s="14"/>
      <c r="E220" s="876">
        <f>E12</f>
        <v>1402</v>
      </c>
      <c r="F220" s="876"/>
      <c r="G220" s="876"/>
      <c r="H220" s="876"/>
      <c r="I220" s="876"/>
      <c r="J220" s="31">
        <f>J12</f>
        <v>0</v>
      </c>
      <c r="K220" s="32">
        <f>K12</f>
        <v>1401</v>
      </c>
    </row>
    <row r="221" spans="2:11" ht="18.75" customHeight="1">
      <c r="B221" s="3"/>
      <c r="C221"/>
      <c r="E221" s="190" t="s">
        <v>18</v>
      </c>
      <c r="F221" s="2"/>
      <c r="G221" s="190" t="s">
        <v>19</v>
      </c>
      <c r="H221" s="2"/>
      <c r="I221" s="190" t="s">
        <v>24</v>
      </c>
      <c r="J221" s="31"/>
      <c r="K221" s="326" t="s">
        <v>18</v>
      </c>
    </row>
    <row r="222" spans="2:11" ht="18.75" customHeight="1">
      <c r="B222" s="1"/>
      <c r="C222"/>
      <c r="D222" s="1"/>
      <c r="E222" s="58" t="s">
        <v>103</v>
      </c>
      <c r="F222" s="58"/>
      <c r="G222" s="58" t="s">
        <v>103</v>
      </c>
      <c r="H222" s="58"/>
      <c r="I222" s="58" t="s">
        <v>103</v>
      </c>
      <c r="J222" s="1"/>
      <c r="K222" s="58" t="s">
        <v>103</v>
      </c>
    </row>
    <row r="223" spans="2:11" ht="18.75" customHeight="1">
      <c r="B223" s="3" t="s">
        <v>789</v>
      </c>
      <c r="C223" s="3"/>
      <c r="D223" s="1"/>
      <c r="E223" s="304">
        <v>39108224809</v>
      </c>
      <c r="F223" s="58"/>
      <c r="G223" s="139">
        <v>0</v>
      </c>
      <c r="H223" s="58"/>
      <c r="I223" s="304">
        <f>G223+E223</f>
        <v>39108224809</v>
      </c>
      <c r="J223" s="1"/>
      <c r="K223" s="304">
        <v>74621176621</v>
      </c>
    </row>
    <row r="224" spans="2:11" ht="18.75" customHeight="1">
      <c r="B224" s="3" t="s">
        <v>790</v>
      </c>
      <c r="C224" s="3"/>
      <c r="D224" s="1"/>
      <c r="E224" s="304">
        <v>2647639910</v>
      </c>
      <c r="F224" s="58"/>
      <c r="G224" s="139">
        <v>0</v>
      </c>
      <c r="H224" s="58"/>
      <c r="I224" s="304">
        <f t="shared" ref="I224:I240" si="8">G224+E224</f>
        <v>2647639910</v>
      </c>
      <c r="J224" s="1"/>
      <c r="K224" s="304">
        <v>10792290241</v>
      </c>
    </row>
    <row r="225" spans="2:11" ht="18.75" customHeight="1">
      <c r="B225" s="3" t="s">
        <v>791</v>
      </c>
      <c r="C225" s="3"/>
      <c r="D225" s="1"/>
      <c r="E225" s="304">
        <v>4563660145</v>
      </c>
      <c r="F225" s="58"/>
      <c r="G225" s="139">
        <v>0</v>
      </c>
      <c r="H225" s="58"/>
      <c r="I225" s="304">
        <f t="shared" si="8"/>
        <v>4563660145</v>
      </c>
      <c r="J225" s="1"/>
      <c r="K225" s="304">
        <v>4563660145</v>
      </c>
    </row>
    <row r="226" spans="2:11" ht="18.75" customHeight="1">
      <c r="B226" s="3" t="s">
        <v>792</v>
      </c>
      <c r="C226" s="3"/>
      <c r="D226" s="1"/>
      <c r="E226" s="304">
        <v>777705</v>
      </c>
      <c r="F226" s="58"/>
      <c r="G226" s="139">
        <v>0</v>
      </c>
      <c r="H226" s="58"/>
      <c r="I226" s="304">
        <f t="shared" si="8"/>
        <v>777705</v>
      </c>
      <c r="J226" s="1"/>
      <c r="K226" s="139">
        <v>0</v>
      </c>
    </row>
    <row r="227" spans="2:11" ht="18.75" customHeight="1">
      <c r="B227" s="3" t="s">
        <v>793</v>
      </c>
      <c r="C227" s="3"/>
      <c r="D227" s="1"/>
      <c r="E227" s="304">
        <v>512512810</v>
      </c>
      <c r="F227" s="58"/>
      <c r="G227" s="139">
        <v>0</v>
      </c>
      <c r="H227" s="58"/>
      <c r="I227" s="304">
        <f t="shared" si="8"/>
        <v>512512810</v>
      </c>
      <c r="J227" s="1"/>
      <c r="K227" s="304">
        <v>512512810</v>
      </c>
    </row>
    <row r="228" spans="2:11" ht="18.75" customHeight="1">
      <c r="B228" s="3" t="s">
        <v>794</v>
      </c>
      <c r="C228" s="3"/>
      <c r="D228" s="1"/>
      <c r="E228" s="304">
        <v>2033924000</v>
      </c>
      <c r="F228" s="304"/>
      <c r="G228" s="139">
        <v>0</v>
      </c>
      <c r="H228" s="58"/>
      <c r="I228" s="304">
        <f t="shared" si="8"/>
        <v>2033924000</v>
      </c>
      <c r="J228" s="1"/>
      <c r="K228" s="304">
        <v>2033924000</v>
      </c>
    </row>
    <row r="229" spans="2:11" ht="18.75" customHeight="1">
      <c r="B229" s="3" t="s">
        <v>795</v>
      </c>
      <c r="C229" s="3"/>
      <c r="D229" s="1"/>
      <c r="E229" s="304">
        <v>461349994</v>
      </c>
      <c r="F229" s="58"/>
      <c r="G229" s="139">
        <v>0</v>
      </c>
      <c r="H229" s="58"/>
      <c r="I229" s="304">
        <f t="shared" si="8"/>
        <v>461349994</v>
      </c>
      <c r="J229" s="1"/>
      <c r="K229" s="304">
        <v>1124591589</v>
      </c>
    </row>
    <row r="230" spans="2:11" ht="18.75" customHeight="1">
      <c r="B230" s="3" t="s">
        <v>796</v>
      </c>
      <c r="C230" s="3"/>
      <c r="D230" s="1"/>
      <c r="E230" s="304">
        <v>5857257343</v>
      </c>
      <c r="F230" s="58"/>
      <c r="G230" s="139">
        <v>0</v>
      </c>
      <c r="H230" s="58"/>
      <c r="I230" s="304">
        <f t="shared" si="8"/>
        <v>5857257343</v>
      </c>
      <c r="J230" s="1"/>
      <c r="K230" s="304">
        <v>4754007517</v>
      </c>
    </row>
    <row r="231" spans="2:11" ht="18.75" customHeight="1">
      <c r="B231" s="3" t="s">
        <v>797</v>
      </c>
      <c r="C231" s="3"/>
      <c r="D231" s="1"/>
      <c r="E231" s="304">
        <v>3014650490</v>
      </c>
      <c r="F231" s="58"/>
      <c r="G231" s="139">
        <v>0</v>
      </c>
      <c r="H231" s="58"/>
      <c r="I231" s="304">
        <f t="shared" si="8"/>
        <v>3014650490</v>
      </c>
      <c r="J231" s="1"/>
      <c r="K231" s="304">
        <v>2107910611</v>
      </c>
    </row>
    <row r="232" spans="2:11" ht="18.75" customHeight="1">
      <c r="B232" s="3" t="s">
        <v>798</v>
      </c>
      <c r="C232" s="3"/>
      <c r="D232" s="1"/>
      <c r="E232" s="304">
        <v>5129906859</v>
      </c>
      <c r="F232" s="58"/>
      <c r="G232" s="139">
        <v>0</v>
      </c>
      <c r="H232" s="58"/>
      <c r="I232" s="304">
        <f t="shared" si="8"/>
        <v>5129906859</v>
      </c>
      <c r="J232" s="1"/>
      <c r="K232" s="304">
        <v>3858630984</v>
      </c>
    </row>
    <row r="233" spans="2:11" ht="18.75" customHeight="1">
      <c r="B233" s="3" t="s">
        <v>799</v>
      </c>
      <c r="C233" s="3"/>
      <c r="D233" s="1"/>
      <c r="E233" s="304">
        <v>3014605350</v>
      </c>
      <c r="F233" s="58"/>
      <c r="G233" s="139">
        <v>0</v>
      </c>
      <c r="H233" s="58"/>
      <c r="I233" s="304">
        <f t="shared" si="8"/>
        <v>3014605350</v>
      </c>
      <c r="J233" s="1"/>
      <c r="K233" s="304">
        <v>3545709692</v>
      </c>
    </row>
    <row r="234" spans="2:11" ht="18.75" customHeight="1">
      <c r="B234" s="3" t="s">
        <v>800</v>
      </c>
      <c r="C234" s="3"/>
      <c r="D234" s="1"/>
      <c r="E234" s="304">
        <v>3435622269</v>
      </c>
      <c r="F234" s="304"/>
      <c r="G234" s="139">
        <v>0</v>
      </c>
      <c r="H234" s="58"/>
      <c r="I234" s="304">
        <f t="shared" si="8"/>
        <v>3435622269</v>
      </c>
      <c r="J234" s="1"/>
      <c r="K234" s="304">
        <v>3014440150</v>
      </c>
    </row>
    <row r="235" spans="2:11" ht="18.75" customHeight="1">
      <c r="B235" s="3" t="s">
        <v>801</v>
      </c>
      <c r="C235" s="3"/>
      <c r="D235" s="1"/>
      <c r="E235" s="304">
        <v>22307114757</v>
      </c>
      <c r="F235" s="58"/>
      <c r="G235" s="139">
        <v>0</v>
      </c>
      <c r="H235" s="58"/>
      <c r="I235" s="304">
        <f t="shared" si="8"/>
        <v>22307114757</v>
      </c>
      <c r="J235" s="1"/>
      <c r="K235" s="304">
        <v>11045240000</v>
      </c>
    </row>
    <row r="236" spans="2:11" ht="18.75" customHeight="1">
      <c r="B236" s="3" t="s">
        <v>802</v>
      </c>
      <c r="C236" s="3"/>
      <c r="D236" s="1"/>
      <c r="E236" s="304">
        <v>2934819914</v>
      </c>
      <c r="F236" s="58"/>
      <c r="G236" s="139">
        <v>0</v>
      </c>
      <c r="H236" s="58"/>
      <c r="I236" s="304">
        <f t="shared" si="8"/>
        <v>2934819914</v>
      </c>
      <c r="J236" s="1"/>
      <c r="K236" s="304">
        <v>2934819914</v>
      </c>
    </row>
    <row r="237" spans="2:11" ht="18.75" customHeight="1">
      <c r="B237" s="3" t="s">
        <v>803</v>
      </c>
      <c r="C237" s="3"/>
      <c r="D237" s="1"/>
      <c r="E237" s="304">
        <v>10701082135</v>
      </c>
      <c r="F237" s="304"/>
      <c r="G237" s="139">
        <v>0</v>
      </c>
      <c r="H237" s="58"/>
      <c r="I237" s="304">
        <f t="shared" si="8"/>
        <v>10701082135</v>
      </c>
      <c r="J237" s="1"/>
      <c r="K237" s="304">
        <v>76576806922</v>
      </c>
    </row>
    <row r="238" spans="2:11" ht="18.75" customHeight="1">
      <c r="B238" s="3" t="s">
        <v>804</v>
      </c>
      <c r="C238" s="3"/>
      <c r="D238" s="1"/>
      <c r="E238" s="304">
        <v>1420000000</v>
      </c>
      <c r="F238" s="58"/>
      <c r="G238" s="139">
        <v>0</v>
      </c>
      <c r="H238" s="58"/>
      <c r="I238" s="304">
        <f t="shared" si="8"/>
        <v>1420000000</v>
      </c>
      <c r="J238" s="1"/>
      <c r="K238" s="304">
        <v>1420000000</v>
      </c>
    </row>
    <row r="239" spans="2:11" ht="18.75" customHeight="1">
      <c r="B239" s="3" t="s">
        <v>51</v>
      </c>
      <c r="C239" s="3"/>
      <c r="D239" s="1"/>
      <c r="E239" s="304">
        <v>58857725741</v>
      </c>
      <c r="F239" s="58"/>
      <c r="G239" s="139">
        <v>0</v>
      </c>
      <c r="H239" s="58"/>
      <c r="I239" s="304">
        <f t="shared" si="8"/>
        <v>58857725741</v>
      </c>
      <c r="J239" s="1"/>
      <c r="K239" s="304">
        <v>51598170463</v>
      </c>
    </row>
    <row r="240" spans="2:11" ht="18.75" customHeight="1" thickBot="1">
      <c r="E240" s="316">
        <f>SUM(E223:E239)</f>
        <v>166000874231</v>
      </c>
      <c r="F240" s="2"/>
      <c r="G240" s="140">
        <f>SUM(G223:G239)</f>
        <v>0</v>
      </c>
      <c r="H240" s="2"/>
      <c r="I240" s="316">
        <f t="shared" si="8"/>
        <v>166000874231</v>
      </c>
      <c r="J240" s="1"/>
      <c r="K240" s="316">
        <f>SUM(K223:K239)</f>
        <v>254503891659</v>
      </c>
    </row>
    <row r="241" spans="2:11" ht="4.9000000000000004" customHeight="1" thickTop="1"/>
    <row r="242" spans="2:11" ht="24" customHeight="1">
      <c r="B242" s="875" t="s">
        <v>1304</v>
      </c>
      <c r="C242" s="875"/>
      <c r="D242" s="875"/>
      <c r="E242" s="875"/>
      <c r="F242" s="875"/>
      <c r="G242" s="875"/>
      <c r="H242" s="875"/>
      <c r="I242" s="875"/>
      <c r="J242" s="875"/>
      <c r="K242" s="875"/>
    </row>
    <row r="243" spans="2:11" ht="18.75" customHeight="1">
      <c r="B243" s="16"/>
      <c r="C243" s="16"/>
      <c r="D243" s="14"/>
      <c r="E243" s="876">
        <f>E12</f>
        <v>1402</v>
      </c>
      <c r="F243" s="876"/>
      <c r="G243" s="876"/>
      <c r="H243" s="876"/>
      <c r="I243" s="876"/>
      <c r="J243" s="31">
        <f>J12</f>
        <v>0</v>
      </c>
      <c r="K243" s="32">
        <f>K12</f>
        <v>1401</v>
      </c>
    </row>
    <row r="244" spans="2:11" ht="18.75" customHeight="1">
      <c r="B244" s="3"/>
      <c r="C244"/>
      <c r="E244" s="190" t="s">
        <v>18</v>
      </c>
      <c r="F244" s="2"/>
      <c r="G244" s="190" t="s">
        <v>19</v>
      </c>
      <c r="H244" s="2"/>
      <c r="I244" s="190" t="s">
        <v>24</v>
      </c>
      <c r="J244" s="31"/>
      <c r="K244" s="326" t="s">
        <v>18</v>
      </c>
    </row>
    <row r="245" spans="2:11" ht="18.75" customHeight="1">
      <c r="B245" s="1"/>
      <c r="C245"/>
      <c r="D245" s="1"/>
      <c r="E245" s="58" t="s">
        <v>103</v>
      </c>
      <c r="F245" s="58"/>
      <c r="G245" s="58" t="s">
        <v>103</v>
      </c>
      <c r="H245" s="58"/>
      <c r="I245" s="58" t="s">
        <v>103</v>
      </c>
      <c r="J245" s="1"/>
      <c r="K245" s="58" t="s">
        <v>103</v>
      </c>
    </row>
    <row r="246" spans="2:11" ht="18.75" customHeight="1">
      <c r="B246" s="3" t="s">
        <v>807</v>
      </c>
      <c r="C246" s="3"/>
      <c r="D246" s="1"/>
      <c r="E246" s="304">
        <v>529749125</v>
      </c>
      <c r="F246" s="58"/>
      <c r="G246" s="139">
        <v>0</v>
      </c>
      <c r="H246" s="58"/>
      <c r="I246" s="304">
        <f>E246+G246</f>
        <v>529749125</v>
      </c>
      <c r="J246" s="1"/>
      <c r="K246" s="304">
        <v>214406266</v>
      </c>
    </row>
    <row r="247" spans="2:11" ht="18.75" customHeight="1">
      <c r="B247" s="3" t="s">
        <v>808</v>
      </c>
      <c r="C247" s="3"/>
      <c r="D247" s="1"/>
      <c r="E247" s="304">
        <v>81250000</v>
      </c>
      <c r="F247" s="58"/>
      <c r="G247" s="139">
        <v>0</v>
      </c>
      <c r="H247" s="58"/>
      <c r="I247" s="304">
        <f>E247+G247</f>
        <v>81250000</v>
      </c>
      <c r="J247" s="1"/>
      <c r="K247" s="304">
        <v>18779500</v>
      </c>
    </row>
    <row r="248" spans="2:11" ht="18.75" customHeight="1">
      <c r="B248" s="67" t="s">
        <v>778</v>
      </c>
      <c r="C248" s="67"/>
      <c r="D248" s="1"/>
      <c r="E248" s="304">
        <v>1482930795</v>
      </c>
      <c r="F248" s="58"/>
      <c r="G248" s="139">
        <v>0</v>
      </c>
      <c r="H248" s="58"/>
      <c r="I248" s="304">
        <f>E248+G248</f>
        <v>1482930795</v>
      </c>
      <c r="J248" s="1"/>
      <c r="K248" s="304">
        <v>163663520</v>
      </c>
    </row>
    <row r="249" spans="2:11" ht="18.75" customHeight="1" thickBot="1">
      <c r="E249" s="316">
        <f>SUM(E246:E248)</f>
        <v>2093929920</v>
      </c>
      <c r="F249" s="2"/>
      <c r="G249" s="140">
        <f>SUM(G246:G248)</f>
        <v>0</v>
      </c>
      <c r="H249" s="2"/>
      <c r="I249" s="316">
        <f>SUM(I246:I248)</f>
        <v>2093929920</v>
      </c>
      <c r="J249" s="1"/>
      <c r="K249" s="316">
        <f>SUM(K246:K248)</f>
        <v>396849286</v>
      </c>
    </row>
    <row r="250" spans="2:11" ht="20.25" thickTop="1"/>
    <row r="251" spans="2:11" ht="24" customHeight="1">
      <c r="B251" s="875" t="s">
        <v>1219</v>
      </c>
      <c r="C251" s="875"/>
      <c r="D251" s="875"/>
      <c r="E251" s="875"/>
      <c r="F251" s="875"/>
      <c r="G251" s="875"/>
      <c r="H251" s="875"/>
      <c r="I251" s="875"/>
      <c r="J251" s="875"/>
      <c r="K251" s="875"/>
    </row>
    <row r="252" spans="2:11" ht="18.75" customHeight="1">
      <c r="B252" s="16"/>
      <c r="C252" s="16"/>
      <c r="D252" s="14"/>
      <c r="E252" s="876">
        <f>E12</f>
        <v>1402</v>
      </c>
      <c r="F252" s="876"/>
      <c r="G252" s="876"/>
      <c r="H252" s="876"/>
      <c r="I252" s="876"/>
      <c r="J252" s="31">
        <f>J12</f>
        <v>0</v>
      </c>
      <c r="K252" s="32">
        <f>K12</f>
        <v>1401</v>
      </c>
    </row>
    <row r="253" spans="2:11" ht="18.75" customHeight="1">
      <c r="B253" s="3"/>
      <c r="C253"/>
      <c r="E253" s="190" t="s">
        <v>18</v>
      </c>
      <c r="F253" s="2"/>
      <c r="G253" s="190" t="s">
        <v>19</v>
      </c>
      <c r="H253" s="2"/>
      <c r="I253" s="190" t="s">
        <v>24</v>
      </c>
      <c r="J253" s="31"/>
      <c r="K253" s="326" t="s">
        <v>18</v>
      </c>
    </row>
    <row r="254" spans="2:11" ht="18.75" customHeight="1">
      <c r="B254" s="1"/>
      <c r="C254"/>
      <c r="D254" s="1"/>
      <c r="E254" s="58" t="s">
        <v>103</v>
      </c>
      <c r="F254" s="58"/>
      <c r="G254" s="58" t="s">
        <v>103</v>
      </c>
      <c r="H254" s="58"/>
      <c r="I254" s="58" t="s">
        <v>103</v>
      </c>
      <c r="J254" s="1"/>
      <c r="K254" s="58" t="s">
        <v>103</v>
      </c>
    </row>
    <row r="255" spans="2:11" ht="18.75" customHeight="1">
      <c r="B255" s="3" t="s">
        <v>805</v>
      </c>
      <c r="C255" s="3"/>
      <c r="D255" s="1"/>
      <c r="E255" s="314">
        <v>1803206408</v>
      </c>
      <c r="F255" s="58"/>
      <c r="G255" s="139">
        <v>0</v>
      </c>
      <c r="H255" s="58"/>
      <c r="I255" s="314">
        <f>E255+G255</f>
        <v>1803206408</v>
      </c>
      <c r="J255" s="1"/>
      <c r="K255" s="314">
        <v>303206408</v>
      </c>
    </row>
    <row r="256" spans="2:11" ht="18.75" customHeight="1">
      <c r="B256" s="3" t="s">
        <v>806</v>
      </c>
      <c r="C256" s="3"/>
      <c r="D256" s="1"/>
      <c r="E256" s="314">
        <v>730000000</v>
      </c>
      <c r="F256" s="58"/>
      <c r="G256" s="139">
        <v>0</v>
      </c>
      <c r="H256" s="58"/>
      <c r="I256" s="314">
        <f>E256+G256</f>
        <v>730000000</v>
      </c>
      <c r="J256" s="1"/>
      <c r="K256" s="314">
        <v>730000000</v>
      </c>
    </row>
    <row r="257" spans="1:15" ht="18.75" customHeight="1">
      <c r="B257" s="67" t="s">
        <v>778</v>
      </c>
      <c r="C257" s="67"/>
      <c r="D257" s="1"/>
      <c r="E257" s="314">
        <v>3738037202</v>
      </c>
      <c r="F257" s="58"/>
      <c r="G257" s="139">
        <v>0</v>
      </c>
      <c r="H257" s="58"/>
      <c r="I257" s="314">
        <f>E257+G257</f>
        <v>3738037202</v>
      </c>
      <c r="J257" s="1"/>
      <c r="K257" s="314">
        <v>437962202</v>
      </c>
    </row>
    <row r="258" spans="1:15" ht="18.75" customHeight="1" thickBot="1">
      <c r="E258" s="316">
        <f>SUM(E255:E257)</f>
        <v>6271243610</v>
      </c>
      <c r="F258" s="137"/>
      <c r="G258" s="316">
        <f>SUM(G255:G257)</f>
        <v>0</v>
      </c>
      <c r="H258" s="137"/>
      <c r="I258" s="316">
        <f>SUM(I255:I257)</f>
        <v>6271243610</v>
      </c>
      <c r="J258" s="310"/>
      <c r="K258" s="316">
        <f>SUM(K255:K257)</f>
        <v>1471168610</v>
      </c>
    </row>
    <row r="259" spans="1:15" ht="20.25" thickTop="1"/>
    <row r="260" spans="1:15" ht="21">
      <c r="B260" s="816" t="s">
        <v>1220</v>
      </c>
      <c r="C260" s="816"/>
      <c r="D260" s="816"/>
      <c r="E260" s="816"/>
      <c r="F260" s="816"/>
      <c r="G260" s="816"/>
      <c r="H260" s="816"/>
      <c r="I260" s="816"/>
      <c r="J260" s="816"/>
      <c r="K260" s="816"/>
    </row>
    <row r="261" spans="1:15" ht="19.5" customHeight="1">
      <c r="B261" s="109"/>
      <c r="C261" s="109"/>
      <c r="D261" s="217"/>
      <c r="E261" s="109"/>
      <c r="F261" s="109"/>
      <c r="G261" s="109"/>
      <c r="H261" s="109"/>
      <c r="I261" s="109"/>
      <c r="J261" s="109"/>
      <c r="K261" s="109"/>
    </row>
    <row r="262" spans="1:15" ht="18.75" customHeight="1">
      <c r="A262" s="6"/>
      <c r="B262" s="72" t="s">
        <v>1221</v>
      </c>
      <c r="C262" s="72"/>
      <c r="D262" s="109"/>
      <c r="E262" s="72"/>
      <c r="F262" s="72"/>
      <c r="G262" s="72"/>
      <c r="H262" s="72"/>
      <c r="I262" s="72"/>
      <c r="J262" s="72"/>
      <c r="K262" s="72"/>
      <c r="L262" s="6"/>
      <c r="M262" s="6"/>
      <c r="N262" s="6"/>
      <c r="O262" s="6"/>
    </row>
    <row r="263" spans="1:15" ht="18" customHeight="1">
      <c r="B263" s="16"/>
      <c r="C263" s="16"/>
      <c r="D263" s="72"/>
      <c r="E263" s="876">
        <f>[5]مفروضات!$C$3</f>
        <v>1402</v>
      </c>
      <c r="F263" s="876"/>
      <c r="G263" s="876"/>
      <c r="H263" s="876"/>
      <c r="I263" s="876"/>
      <c r="J263" s="31"/>
      <c r="K263" s="32">
        <f>[5]مفروضات!$C$4</f>
        <v>1401</v>
      </c>
      <c r="L263" s="18"/>
    </row>
    <row r="264" spans="1:15" ht="16.5" customHeight="1">
      <c r="B264" s="3"/>
      <c r="C264" s="3"/>
      <c r="D264" s="14"/>
      <c r="E264" s="2" t="s">
        <v>18</v>
      </c>
      <c r="F264" s="2"/>
      <c r="G264" s="2" t="s">
        <v>19</v>
      </c>
      <c r="H264" s="2"/>
      <c r="I264" s="190" t="s">
        <v>24</v>
      </c>
      <c r="J264" s="2"/>
      <c r="K264" s="33" t="s">
        <v>18</v>
      </c>
    </row>
    <row r="265" spans="1:15" s="1" customFormat="1" ht="20.25" customHeight="1">
      <c r="D265" s="5"/>
      <c r="E265" s="325" t="s">
        <v>103</v>
      </c>
      <c r="F265" s="58"/>
      <c r="G265" s="325" t="s">
        <v>103</v>
      </c>
      <c r="H265" s="58"/>
      <c r="I265" s="325" t="s">
        <v>103</v>
      </c>
      <c r="J265" s="58"/>
      <c r="K265" s="325" t="s">
        <v>103</v>
      </c>
    </row>
    <row r="266" spans="1:15" s="1" customFormat="1" ht="20.25" customHeight="1">
      <c r="B266" s="1" t="s">
        <v>533</v>
      </c>
      <c r="E266" s="314">
        <v>156452646445</v>
      </c>
      <c r="F266" s="58"/>
      <c r="G266" s="139">
        <v>0</v>
      </c>
      <c r="H266" s="58"/>
      <c r="I266" s="314">
        <f>E266+G266</f>
        <v>156452646445</v>
      </c>
      <c r="J266" s="2"/>
      <c r="K266" s="314">
        <v>97405671445</v>
      </c>
    </row>
    <row r="267" spans="1:15" ht="19.5" customHeight="1" thickBot="1">
      <c r="D267" s="1"/>
      <c r="E267" s="316">
        <f>SUM(E266:E266)</f>
        <v>156452646445</v>
      </c>
      <c r="F267" s="2"/>
      <c r="G267" s="140">
        <f>SUM(G266:G266)</f>
        <v>0</v>
      </c>
      <c r="H267" s="2"/>
      <c r="I267" s="316">
        <f>SUM(I266:I266)</f>
        <v>156452646445</v>
      </c>
      <c r="J267" s="2"/>
      <c r="K267" s="316">
        <f>SUM(K266:K266)</f>
        <v>97405671445</v>
      </c>
    </row>
    <row r="268" spans="1:15" ht="19.5" customHeight="1" thickTop="1">
      <c r="D268" s="1"/>
      <c r="E268" s="137"/>
      <c r="F268" s="2"/>
      <c r="G268" s="133"/>
      <c r="H268" s="2"/>
      <c r="I268" s="137"/>
      <c r="J268" s="2"/>
      <c r="K268" s="137"/>
    </row>
    <row r="269" spans="1:15" ht="19.5" customHeight="1">
      <c r="B269" s="72" t="s">
        <v>1222</v>
      </c>
      <c r="C269" s="72"/>
      <c r="D269" s="72"/>
      <c r="E269" s="72"/>
      <c r="F269" s="72"/>
      <c r="G269" s="72"/>
      <c r="H269" s="72"/>
      <c r="I269" s="72"/>
      <c r="J269" s="72"/>
      <c r="K269" s="72"/>
    </row>
    <row r="270" spans="1:15" ht="19.5" customHeight="1">
      <c r="B270" s="472"/>
      <c r="C270" s="472"/>
      <c r="D270" s="473"/>
      <c r="E270" s="876">
        <f>[5]مفروضات!$C$3</f>
        <v>1402</v>
      </c>
      <c r="F270" s="876"/>
      <c r="G270" s="876"/>
      <c r="H270" s="876"/>
      <c r="I270" s="876"/>
      <c r="J270" s="31"/>
      <c r="K270" s="32">
        <f>[5]مفروضات!$C$4</f>
        <v>1401</v>
      </c>
    </row>
    <row r="271" spans="1:15" ht="19.5" customHeight="1">
      <c r="B271" s="472"/>
      <c r="C271" s="472"/>
      <c r="D271" s="472"/>
      <c r="E271" s="2" t="s">
        <v>18</v>
      </c>
      <c r="F271" s="2"/>
      <c r="G271" s="2" t="s">
        <v>19</v>
      </c>
      <c r="H271" s="2"/>
      <c r="I271" s="190" t="s">
        <v>24</v>
      </c>
      <c r="J271" s="2"/>
      <c r="K271" s="33" t="s">
        <v>18</v>
      </c>
    </row>
    <row r="272" spans="1:15" ht="27">
      <c r="B272" s="474"/>
      <c r="C272" s="474"/>
      <c r="D272" s="474"/>
      <c r="E272" s="325" t="s">
        <v>103</v>
      </c>
      <c r="F272" s="58"/>
      <c r="G272" s="325" t="s">
        <v>103</v>
      </c>
      <c r="H272" s="58"/>
      <c r="I272" s="325" t="s">
        <v>103</v>
      </c>
      <c r="J272" s="58"/>
      <c r="K272" s="325" t="s">
        <v>103</v>
      </c>
    </row>
    <row r="273" spans="2:11" ht="27">
      <c r="B273" s="474"/>
      <c r="C273" s="474"/>
      <c r="D273" s="474"/>
      <c r="E273" s="325">
        <v>0</v>
      </c>
      <c r="F273" s="58"/>
      <c r="G273" s="58"/>
      <c r="H273" s="58"/>
      <c r="I273" s="58"/>
      <c r="J273" s="58"/>
      <c r="K273" s="587">
        <f>K274</f>
        <v>9542897</v>
      </c>
    </row>
    <row r="274" spans="2:11" ht="21.75" thickBot="1">
      <c r="B274" s="15"/>
      <c r="C274" s="15"/>
      <c r="D274" s="15"/>
      <c r="E274" s="140">
        <v>0</v>
      </c>
      <c r="F274" s="2"/>
      <c r="G274" s="2"/>
      <c r="H274" s="2"/>
      <c r="I274" s="2"/>
      <c r="J274" s="2"/>
      <c r="K274" s="316">
        <v>9542897</v>
      </c>
    </row>
    <row r="275" spans="2:11" ht="20.25" thickTop="1">
      <c r="B275" s="15"/>
      <c r="C275" s="15"/>
      <c r="D275" s="15"/>
      <c r="E275" s="15"/>
      <c r="F275" s="15"/>
      <c r="G275" s="15"/>
      <c r="H275" s="15"/>
      <c r="I275" s="15"/>
      <c r="J275" s="15"/>
    </row>
  </sheetData>
  <mergeCells count="47">
    <mergeCell ref="B59:K59"/>
    <mergeCell ref="B206:K206"/>
    <mergeCell ref="B203:K203"/>
    <mergeCell ref="B143:K143"/>
    <mergeCell ref="B145:K145"/>
    <mergeCell ref="B108:K108"/>
    <mergeCell ref="E109:I109"/>
    <mergeCell ref="B126:K126"/>
    <mergeCell ref="B128:K128"/>
    <mergeCell ref="E129:I129"/>
    <mergeCell ref="E146:I146"/>
    <mergeCell ref="B170:K170"/>
    <mergeCell ref="B172:K172"/>
    <mergeCell ref="E173:I173"/>
    <mergeCell ref="B188:K188"/>
    <mergeCell ref="B60:K60"/>
    <mergeCell ref="B207:K207"/>
    <mergeCell ref="E208:I208"/>
    <mergeCell ref="B204:K204"/>
    <mergeCell ref="B202:K202"/>
    <mergeCell ref="E270:I270"/>
    <mergeCell ref="B205:K205"/>
    <mergeCell ref="B260:K260"/>
    <mergeCell ref="E263:I263"/>
    <mergeCell ref="B219:K219"/>
    <mergeCell ref="E220:I220"/>
    <mergeCell ref="B242:K242"/>
    <mergeCell ref="B251:K251"/>
    <mergeCell ref="E252:I252"/>
    <mergeCell ref="E243:I243"/>
    <mergeCell ref="A1:K1"/>
    <mergeCell ref="B11:K11"/>
    <mergeCell ref="B2:L2"/>
    <mergeCell ref="B3:L3"/>
    <mergeCell ref="E12:I12"/>
    <mergeCell ref="B5:K5"/>
    <mergeCell ref="E6:I6"/>
    <mergeCell ref="E61:I61"/>
    <mergeCell ref="B106:K106"/>
    <mergeCell ref="E190:I190"/>
    <mergeCell ref="B201:K201"/>
    <mergeCell ref="B189:K189"/>
    <mergeCell ref="B24:K24"/>
    <mergeCell ref="E25:I25"/>
    <mergeCell ref="B37:K37"/>
    <mergeCell ref="E38:I38"/>
    <mergeCell ref="B58:K58"/>
  </mergeCells>
  <printOptions horizontalCentered="1"/>
  <pageMargins left="0.55118110236220474" right="0.70866141732283472" top="0.47244094488188981" bottom="0.74803149606299213" header="0.31496062992125984" footer="0.31496062992125984"/>
  <pageSetup paperSize="9" scale="57" firstPageNumber="24" orientation="portrait" useFirstPageNumber="1" r:id="rId1"/>
  <headerFooter>
    <oddFooter>&amp;C&amp;"B Nazanin,Regular"&amp;P</oddFooter>
  </headerFooter>
  <rowBreaks count="5" manualBreakCount="5">
    <brk id="59" max="10" man="1"/>
    <brk id="107" max="10" man="1"/>
    <brk id="171" max="10" man="1"/>
    <brk id="206" max="10" man="1"/>
    <brk id="24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rightToLeft="1" topLeftCell="A15" zoomScale="106" zoomScaleNormal="106" workbookViewId="0">
      <selection activeCell="C21" sqref="C21"/>
    </sheetView>
  </sheetViews>
  <sheetFormatPr defaultColWidth="8.42578125" defaultRowHeight="22.5"/>
  <cols>
    <col min="1" max="1" width="40.28515625" style="41" customWidth="1"/>
    <col min="2" max="2" width="0.42578125" style="41" customWidth="1"/>
    <col min="3" max="3" width="27.7109375" style="41" bestFit="1" customWidth="1"/>
    <col min="4" max="4" width="0.42578125" style="41" customWidth="1"/>
    <col min="5" max="5" width="7.85546875" style="41" bestFit="1" customWidth="1"/>
    <col min="6" max="16384" width="8.42578125" style="41"/>
  </cols>
  <sheetData>
    <row r="1" spans="1:14" s="37" customFormat="1" ht="23.25">
      <c r="A1" s="37" t="s">
        <v>283</v>
      </c>
      <c r="C1" s="37" t="s">
        <v>649</v>
      </c>
      <c r="D1"/>
      <c r="E1"/>
      <c r="F1"/>
      <c r="G1" s="36"/>
      <c r="H1" s="36"/>
      <c r="I1" s="36"/>
      <c r="J1" s="36"/>
      <c r="K1" s="36"/>
      <c r="L1" s="36"/>
      <c r="M1" s="36"/>
      <c r="N1" s="36"/>
    </row>
    <row r="2" spans="1:14" s="40" customFormat="1" ht="23.25">
      <c r="A2" s="37" t="s">
        <v>282</v>
      </c>
      <c r="B2" s="37"/>
      <c r="C2" s="37" t="s">
        <v>463</v>
      </c>
      <c r="D2"/>
      <c r="E2"/>
      <c r="F2"/>
      <c r="G2" s="38"/>
      <c r="H2" s="38"/>
      <c r="I2" s="38"/>
      <c r="J2" s="39"/>
    </row>
    <row r="3" spans="1:14" s="37" customFormat="1" ht="23.25">
      <c r="A3" s="37" t="s">
        <v>285</v>
      </c>
      <c r="C3" s="113">
        <v>1402</v>
      </c>
      <c r="D3"/>
      <c r="E3"/>
      <c r="F3"/>
      <c r="G3" s="38"/>
      <c r="H3" s="38"/>
      <c r="I3" s="38"/>
      <c r="J3" s="39"/>
      <c r="K3" s="40"/>
      <c r="L3" s="40"/>
      <c r="M3" s="40"/>
      <c r="N3" s="40"/>
    </row>
    <row r="4" spans="1:14">
      <c r="A4" s="41" t="s">
        <v>284</v>
      </c>
      <c r="C4" s="113">
        <v>1401</v>
      </c>
      <c r="D4"/>
      <c r="E4"/>
      <c r="F4"/>
    </row>
    <row r="5" spans="1:14">
      <c r="A5" s="41" t="s">
        <v>286</v>
      </c>
      <c r="C5" s="37" t="s">
        <v>464</v>
      </c>
      <c r="D5"/>
      <c r="E5"/>
      <c r="F5"/>
    </row>
    <row r="6" spans="1:14">
      <c r="A6" s="41" t="s">
        <v>287</v>
      </c>
      <c r="C6" s="37" t="str">
        <f>C5</f>
        <v>برای سال مالي منتهي به 29 اسفند ماه 1402</v>
      </c>
      <c r="D6"/>
      <c r="E6"/>
      <c r="F6"/>
    </row>
    <row r="7" spans="1:14">
      <c r="A7" s="41" t="s">
        <v>288</v>
      </c>
      <c r="C7" s="37" t="s">
        <v>465</v>
      </c>
      <c r="D7"/>
      <c r="E7"/>
      <c r="F7"/>
    </row>
    <row r="8" spans="1:14">
      <c r="A8" s="41" t="s">
        <v>289</v>
      </c>
      <c r="C8" s="37" t="s">
        <v>465</v>
      </c>
      <c r="D8"/>
      <c r="E8"/>
      <c r="F8"/>
    </row>
    <row r="9" spans="1:14" ht="1.5" customHeight="1">
      <c r="C9" s="37"/>
      <c r="D9"/>
      <c r="E9"/>
      <c r="F9"/>
    </row>
    <row r="10" spans="1:14" ht="21" customHeight="1">
      <c r="A10" s="41" t="s">
        <v>418</v>
      </c>
      <c r="C10" s="293">
        <v>125700</v>
      </c>
      <c r="D10"/>
      <c r="E10"/>
      <c r="F10"/>
    </row>
    <row r="11" spans="1:14" ht="21" customHeight="1">
      <c r="C11" s="133">
        <v>1402</v>
      </c>
      <c r="D11" s="134"/>
      <c r="E11" s="133">
        <v>1401</v>
      </c>
      <c r="F11"/>
    </row>
    <row r="12" spans="1:14" ht="21" customHeight="1">
      <c r="A12" s="41" t="s">
        <v>453</v>
      </c>
      <c r="C12" s="137"/>
      <c r="D12" s="134"/>
      <c r="E12" s="137"/>
      <c r="F12"/>
    </row>
    <row r="13" spans="1:14" ht="21" customHeight="1">
      <c r="A13" s="41" t="s">
        <v>454</v>
      </c>
      <c r="C13" s="137"/>
      <c r="D13" s="134"/>
      <c r="E13" s="137"/>
      <c r="F13"/>
    </row>
    <row r="14" spans="1:14" ht="21" customHeight="1">
      <c r="A14" s="41" t="s">
        <v>434</v>
      </c>
      <c r="C14" s="133"/>
      <c r="D14" s="133"/>
      <c r="E14" s="133"/>
      <c r="F14"/>
    </row>
    <row r="15" spans="1:14">
      <c r="A15" s="124" t="s">
        <v>366</v>
      </c>
      <c r="B15"/>
      <c r="C15" s="123" t="s">
        <v>365</v>
      </c>
      <c r="D15"/>
      <c r="E15" s="123" t="s">
        <v>116</v>
      </c>
      <c r="F15"/>
      <c r="G15" s="42"/>
      <c r="H15" s="42"/>
      <c r="I15" s="42"/>
      <c r="J15" s="42"/>
    </row>
    <row r="16" spans="1:14" ht="45">
      <c r="A16" s="126" t="s">
        <v>380</v>
      </c>
      <c r="B16"/>
      <c r="C16" s="125" t="s">
        <v>1280</v>
      </c>
      <c r="D16"/>
      <c r="E16" s="127" t="s">
        <v>381</v>
      </c>
      <c r="F16"/>
    </row>
    <row r="17" spans="1:6">
      <c r="A17" s="41" t="s">
        <v>120</v>
      </c>
      <c r="C17" s="125" t="s">
        <v>593</v>
      </c>
      <c r="D17"/>
      <c r="E17" s="125" t="s">
        <v>383</v>
      </c>
      <c r="F17"/>
    </row>
    <row r="18" spans="1:6">
      <c r="A18" s="126" t="s">
        <v>594</v>
      </c>
      <c r="C18" s="125" t="s">
        <v>1279</v>
      </c>
      <c r="D18"/>
      <c r="E18" s="127" t="s">
        <v>384</v>
      </c>
      <c r="F18"/>
    </row>
    <row r="19" spans="1:6">
      <c r="A19" s="126" t="s">
        <v>474</v>
      </c>
      <c r="C19" s="125" t="s">
        <v>415</v>
      </c>
      <c r="D19"/>
      <c r="E19" s="127" t="s">
        <v>595</v>
      </c>
      <c r="F19"/>
    </row>
    <row r="20" spans="1:6">
      <c r="A20" s="41" t="s">
        <v>598</v>
      </c>
      <c r="C20" s="125" t="s">
        <v>1281</v>
      </c>
      <c r="D20" s="131"/>
      <c r="E20" s="125" t="s">
        <v>1024</v>
      </c>
      <c r="F20"/>
    </row>
    <row r="21" spans="1:6">
      <c r="A21" s="41" t="s">
        <v>378</v>
      </c>
      <c r="C21" s="125" t="s">
        <v>1278</v>
      </c>
      <c r="D21"/>
      <c r="E21" s="125" t="s">
        <v>367</v>
      </c>
      <c r="F21"/>
    </row>
    <row r="22" spans="1:6">
      <c r="A22" s="41" t="s">
        <v>377</v>
      </c>
      <c r="C22" s="125" t="s">
        <v>1277</v>
      </c>
      <c r="D22"/>
      <c r="E22" s="125" t="s">
        <v>368</v>
      </c>
      <c r="F22"/>
    </row>
    <row r="23" spans="1:6">
      <c r="A23" s="41" t="s">
        <v>553</v>
      </c>
      <c r="C23" s="125" t="s">
        <v>1276</v>
      </c>
      <c r="D23"/>
      <c r="E23" s="125" t="s">
        <v>369</v>
      </c>
      <c r="F23"/>
    </row>
    <row r="24" spans="1:6">
      <c r="A24" s="126" t="s">
        <v>476</v>
      </c>
      <c r="C24" s="125" t="s">
        <v>1275</v>
      </c>
      <c r="D24"/>
      <c r="E24" s="125" t="s">
        <v>370</v>
      </c>
      <c r="F24"/>
    </row>
    <row r="25" spans="1:6">
      <c r="A25" s="41" t="s">
        <v>597</v>
      </c>
      <c r="C25" s="125" t="s">
        <v>1275</v>
      </c>
      <c r="D25"/>
      <c r="E25" s="125" t="s">
        <v>593</v>
      </c>
      <c r="F25"/>
    </row>
    <row r="26" spans="1:6">
      <c r="A26" s="41" t="s">
        <v>495</v>
      </c>
      <c r="C26" s="125" t="s">
        <v>1257</v>
      </c>
      <c r="D26"/>
      <c r="E26" s="125" t="s">
        <v>385</v>
      </c>
      <c r="F26"/>
    </row>
    <row r="27" spans="1:6" ht="20.25" customHeight="1">
      <c r="A27" s="227" t="s">
        <v>589</v>
      </c>
      <c r="C27" s="125" t="s">
        <v>1257</v>
      </c>
      <c r="D27"/>
      <c r="E27" s="125" t="s">
        <v>596</v>
      </c>
      <c r="F27"/>
    </row>
    <row r="28" spans="1:6" ht="20.25" customHeight="1">
      <c r="A28" s="227" t="s">
        <v>603</v>
      </c>
      <c r="C28" s="125" t="s">
        <v>1274</v>
      </c>
      <c r="D28"/>
      <c r="E28" s="125" t="s">
        <v>371</v>
      </c>
      <c r="F28"/>
    </row>
    <row r="29" spans="1:6" ht="20.25" customHeight="1">
      <c r="A29" s="227" t="s">
        <v>77</v>
      </c>
      <c r="C29" s="125" t="s">
        <v>1273</v>
      </c>
      <c r="D29"/>
      <c r="E29" s="125" t="s">
        <v>415</v>
      </c>
      <c r="F29"/>
    </row>
    <row r="30" spans="1:6" ht="20.25" customHeight="1">
      <c r="A30" s="227" t="s">
        <v>132</v>
      </c>
      <c r="C30" s="125" t="s">
        <v>1273</v>
      </c>
      <c r="D30"/>
      <c r="E30" s="125" t="s">
        <v>386</v>
      </c>
      <c r="F30"/>
    </row>
    <row r="31" spans="1:6" ht="20.25" customHeight="1">
      <c r="A31" s="227" t="s">
        <v>480</v>
      </c>
      <c r="C31" s="125" t="s">
        <v>1273</v>
      </c>
      <c r="D31"/>
      <c r="E31" s="125" t="s">
        <v>372</v>
      </c>
      <c r="F31"/>
    </row>
    <row r="32" spans="1:6" ht="20.25" customHeight="1">
      <c r="A32" s="227" t="s">
        <v>481</v>
      </c>
      <c r="C32" s="125" t="s">
        <v>1271</v>
      </c>
      <c r="D32"/>
      <c r="E32" s="125" t="s">
        <v>373</v>
      </c>
      <c r="F32"/>
    </row>
    <row r="33" spans="1:10">
      <c r="A33" s="124" t="s">
        <v>366</v>
      </c>
      <c r="B33"/>
      <c r="C33" s="123" t="s">
        <v>365</v>
      </c>
      <c r="D33"/>
      <c r="E33" s="123" t="s">
        <v>116</v>
      </c>
      <c r="F33"/>
      <c r="G33" s="42"/>
      <c r="H33" s="42"/>
      <c r="I33" s="42"/>
      <c r="J33" s="42"/>
    </row>
    <row r="34" spans="1:10" ht="3.75" customHeight="1">
      <c r="A34" s="128"/>
      <c r="B34"/>
      <c r="C34" s="129"/>
      <c r="D34"/>
      <c r="E34" s="129"/>
      <c r="F34"/>
      <c r="G34" s="42"/>
      <c r="H34" s="42"/>
      <c r="I34" s="42"/>
      <c r="J34" s="42"/>
    </row>
    <row r="35" spans="1:10" ht="51" customHeight="1">
      <c r="A35" s="475" t="s">
        <v>1028</v>
      </c>
      <c r="C35" s="125" t="s">
        <v>1272</v>
      </c>
      <c r="D35" s="125"/>
      <c r="E35" s="127" t="s">
        <v>1254</v>
      </c>
    </row>
    <row r="36" spans="1:10" ht="97.5">
      <c r="A36" s="126" t="s">
        <v>1029</v>
      </c>
      <c r="C36" s="125" t="s">
        <v>1270</v>
      </c>
      <c r="D36" s="125"/>
      <c r="E36" s="127" t="s">
        <v>1255</v>
      </c>
    </row>
    <row r="37" spans="1:10" ht="67.5">
      <c r="A37" s="126" t="s">
        <v>604</v>
      </c>
      <c r="C37" s="125" t="s">
        <v>1268</v>
      </c>
      <c r="D37" s="125"/>
      <c r="E37" s="127" t="s">
        <v>1256</v>
      </c>
    </row>
    <row r="38" spans="1:10" s="228" customFormat="1" ht="28.5" customHeight="1">
      <c r="A38" s="476" t="s">
        <v>1030</v>
      </c>
      <c r="C38" s="125" t="s">
        <v>1269</v>
      </c>
      <c r="D38" s="125"/>
      <c r="E38" s="127" t="s">
        <v>1257</v>
      </c>
    </row>
    <row r="39" spans="1:10" s="228" customFormat="1" ht="102.75" customHeight="1">
      <c r="A39" s="229" t="s">
        <v>605</v>
      </c>
      <c r="C39" s="125" t="s">
        <v>1267</v>
      </c>
      <c r="D39" s="125"/>
      <c r="E39" s="127" t="s">
        <v>1258</v>
      </c>
    </row>
    <row r="40" spans="1:10" ht="45">
      <c r="A40" s="126" t="s">
        <v>606</v>
      </c>
      <c r="C40" s="125" t="s">
        <v>375</v>
      </c>
      <c r="D40" s="125"/>
      <c r="E40" s="125" t="s">
        <v>416</v>
      </c>
    </row>
    <row r="41" spans="1:10" ht="45">
      <c r="A41" s="227" t="s">
        <v>608</v>
      </c>
      <c r="C41" s="125" t="s">
        <v>376</v>
      </c>
      <c r="D41" s="125"/>
      <c r="E41" s="127" t="s">
        <v>1259</v>
      </c>
    </row>
    <row r="42" spans="1:10">
      <c r="A42" s="41" t="s">
        <v>609</v>
      </c>
      <c r="C42" s="125" t="s">
        <v>607</v>
      </c>
      <c r="D42" s="125"/>
      <c r="E42" s="125" t="s">
        <v>1260</v>
      </c>
    </row>
    <row r="43" spans="1:10">
      <c r="A43" s="41" t="s">
        <v>610</v>
      </c>
      <c r="C43" s="125" t="s">
        <v>1266</v>
      </c>
      <c r="D43" s="125"/>
      <c r="E43" s="125" t="s">
        <v>1033</v>
      </c>
    </row>
    <row r="44" spans="1:10" ht="45">
      <c r="A44" s="126" t="s">
        <v>612</v>
      </c>
      <c r="C44" s="125" t="s">
        <v>1265</v>
      </c>
      <c r="D44" s="125"/>
      <c r="E44" s="127" t="s">
        <v>1261</v>
      </c>
    </row>
    <row r="45" spans="1:10" ht="36.75">
      <c r="A45" s="230" t="s">
        <v>613</v>
      </c>
      <c r="C45" s="125" t="s">
        <v>1264</v>
      </c>
      <c r="D45" s="125"/>
      <c r="E45" s="125" t="s">
        <v>374</v>
      </c>
    </row>
    <row r="46" spans="1:10">
      <c r="A46" s="41" t="s">
        <v>614</v>
      </c>
      <c r="C46" s="125" t="s">
        <v>611</v>
      </c>
      <c r="D46" s="125"/>
      <c r="E46" s="125" t="s">
        <v>1034</v>
      </c>
    </row>
    <row r="47" spans="1:10">
      <c r="A47" s="41" t="s">
        <v>615</v>
      </c>
      <c r="C47" s="125" t="s">
        <v>1263</v>
      </c>
      <c r="D47" s="125"/>
      <c r="E47" s="125" t="s">
        <v>375</v>
      </c>
    </row>
    <row r="48" spans="1:10">
      <c r="A48" s="41" t="s">
        <v>616</v>
      </c>
      <c r="C48" s="125" t="s">
        <v>1262</v>
      </c>
      <c r="D48" s="125"/>
      <c r="E48" s="125" t="s">
        <v>376</v>
      </c>
    </row>
    <row r="49" spans="1:5">
      <c r="A49" s="41" t="s">
        <v>1075</v>
      </c>
      <c r="C49" s="125" t="s">
        <v>1262</v>
      </c>
      <c r="D49" s="125"/>
      <c r="E49" s="125" t="s">
        <v>1032</v>
      </c>
    </row>
    <row r="50" spans="1:5">
      <c r="A50" s="41" t="s">
        <v>1074</v>
      </c>
      <c r="C50" s="125" t="s">
        <v>1262</v>
      </c>
      <c r="D50" s="125"/>
      <c r="E50" s="125" t="s">
        <v>1031</v>
      </c>
    </row>
    <row r="51" spans="1:5">
      <c r="C51" s="125"/>
      <c r="D51" s="125"/>
      <c r="E51" s="125"/>
    </row>
    <row r="52" spans="1:5">
      <c r="C52" s="125"/>
      <c r="D52" s="125"/>
      <c r="E52" s="125"/>
    </row>
    <row r="53" spans="1:5">
      <c r="C53" s="125"/>
      <c r="D53" s="125"/>
      <c r="E53" s="125"/>
    </row>
    <row r="54" spans="1:5">
      <c r="C54" s="125"/>
      <c r="D54" s="125"/>
      <c r="E54" s="125"/>
    </row>
    <row r="55" spans="1:5">
      <c r="C55" s="125"/>
      <c r="D55" s="125"/>
      <c r="E55" s="125"/>
    </row>
    <row r="56" spans="1:5">
      <c r="C56" s="125"/>
      <c r="D56" s="125"/>
      <c r="E56" s="125"/>
    </row>
    <row r="57" spans="1:5">
      <c r="C57" s="125"/>
      <c r="D57" s="125"/>
      <c r="E57" s="125"/>
    </row>
    <row r="58" spans="1:5">
      <c r="C58" s="125"/>
      <c r="D58" s="125"/>
      <c r="E58" s="125"/>
    </row>
    <row r="59" spans="1:5">
      <c r="C59" s="125"/>
      <c r="D59" s="125"/>
      <c r="E59" s="125"/>
    </row>
    <row r="60" spans="1:5">
      <c r="C60" s="125"/>
      <c r="D60" s="125"/>
      <c r="E60" s="125"/>
    </row>
    <row r="61" spans="1:5">
      <c r="C61" s="125"/>
      <c r="D61" s="125"/>
      <c r="E61" s="125"/>
    </row>
    <row r="62" spans="1:5">
      <c r="C62" s="125"/>
      <c r="D62" s="125"/>
      <c r="E62" s="125"/>
    </row>
    <row r="63" spans="1:5">
      <c r="C63" s="125"/>
      <c r="D63" s="125"/>
      <c r="E63" s="125"/>
    </row>
    <row r="64" spans="1:5">
      <c r="C64" s="125"/>
      <c r="D64" s="125"/>
      <c r="E64" s="125"/>
    </row>
    <row r="65" spans="3:5">
      <c r="C65" s="125"/>
      <c r="D65" s="125"/>
      <c r="E65" s="125"/>
    </row>
    <row r="66" spans="3:5">
      <c r="C66" s="125"/>
      <c r="D66" s="125"/>
      <c r="E66" s="125"/>
    </row>
    <row r="67" spans="3:5">
      <c r="C67" s="125"/>
      <c r="D67" s="125"/>
      <c r="E67" s="125"/>
    </row>
    <row r="68" spans="3:5">
      <c r="C68" s="125"/>
      <c r="D68" s="125"/>
      <c r="E68" s="125"/>
    </row>
    <row r="69" spans="3:5">
      <c r="C69" s="125"/>
      <c r="D69" s="125"/>
      <c r="E69" s="125"/>
    </row>
    <row r="70" spans="3:5">
      <c r="C70" s="125"/>
      <c r="D70" s="125"/>
      <c r="E70" s="125"/>
    </row>
    <row r="71" spans="3:5">
      <c r="C71" s="125"/>
      <c r="D71" s="125"/>
      <c r="E71" s="125"/>
    </row>
    <row r="72" spans="3:5">
      <c r="C72" s="125"/>
      <c r="D72" s="125"/>
      <c r="E72" s="125"/>
    </row>
    <row r="73" spans="3:5">
      <c r="C73" s="125"/>
      <c r="D73" s="125"/>
      <c r="E73" s="125"/>
    </row>
    <row r="74" spans="3:5">
      <c r="C74" s="125"/>
      <c r="D74" s="125"/>
      <c r="E74" s="125"/>
    </row>
    <row r="75" spans="3:5">
      <c r="C75" s="125"/>
      <c r="D75" s="125"/>
      <c r="E75" s="125"/>
    </row>
    <row r="76" spans="3:5">
      <c r="C76" s="125"/>
      <c r="D76" s="125"/>
      <c r="E76" s="125"/>
    </row>
    <row r="77" spans="3:5">
      <c r="C77" s="125"/>
      <c r="D77" s="125"/>
      <c r="E77" s="125"/>
    </row>
    <row r="78" spans="3:5">
      <c r="C78" s="125"/>
      <c r="D78" s="125"/>
      <c r="E78" s="125"/>
    </row>
    <row r="79" spans="3:5">
      <c r="C79" s="125"/>
      <c r="D79" s="125"/>
      <c r="E79" s="125"/>
    </row>
    <row r="80" spans="3:5">
      <c r="C80" s="125"/>
      <c r="D80" s="125"/>
      <c r="E80" s="125"/>
    </row>
    <row r="81" spans="3:5">
      <c r="C81" s="125"/>
      <c r="D81" s="125"/>
      <c r="E81" s="125"/>
    </row>
    <row r="82" spans="3:5">
      <c r="C82" s="125"/>
      <c r="D82" s="125"/>
      <c r="E82" s="125"/>
    </row>
    <row r="83" spans="3:5">
      <c r="C83" s="125"/>
      <c r="D83" s="125"/>
      <c r="E83" s="125"/>
    </row>
    <row r="84" spans="3:5">
      <c r="C84" s="125"/>
      <c r="D84" s="125"/>
      <c r="E84" s="125"/>
    </row>
    <row r="85" spans="3:5">
      <c r="C85" s="125"/>
      <c r="D85" s="125"/>
      <c r="E85" s="125"/>
    </row>
    <row r="86" spans="3:5">
      <c r="C86" s="125"/>
      <c r="D86" s="125"/>
      <c r="E86" s="125"/>
    </row>
    <row r="87" spans="3:5">
      <c r="C87" s="125"/>
      <c r="D87" s="125"/>
      <c r="E87" s="125"/>
    </row>
    <row r="88" spans="3:5">
      <c r="C88" s="125"/>
      <c r="D88" s="125"/>
      <c r="E88" s="125"/>
    </row>
    <row r="89" spans="3:5">
      <c r="C89" s="125"/>
      <c r="D89" s="125"/>
      <c r="E89" s="125"/>
    </row>
    <row r="90" spans="3:5">
      <c r="C90" s="125"/>
      <c r="D90" s="125"/>
      <c r="E90" s="125"/>
    </row>
    <row r="91" spans="3:5">
      <c r="C91" s="125"/>
      <c r="D91" s="125"/>
      <c r="E91" s="125"/>
    </row>
    <row r="92" spans="3:5">
      <c r="C92" s="125"/>
      <c r="D92" s="125"/>
      <c r="E92" s="125"/>
    </row>
    <row r="93" spans="3:5">
      <c r="C93" s="125"/>
      <c r="D93" s="125"/>
      <c r="E93" s="125"/>
    </row>
    <row r="94" spans="3:5">
      <c r="C94" s="125"/>
      <c r="D94" s="125"/>
      <c r="E94" s="125"/>
    </row>
    <row r="95" spans="3:5">
      <c r="C95" s="125"/>
      <c r="D95" s="125"/>
      <c r="E95" s="125"/>
    </row>
    <row r="96" spans="3:5">
      <c r="C96" s="125"/>
      <c r="D96" s="125"/>
      <c r="E96" s="125"/>
    </row>
    <row r="97" spans="3:5">
      <c r="C97" s="125"/>
      <c r="D97" s="125"/>
      <c r="E97" s="125"/>
    </row>
    <row r="98" spans="3:5">
      <c r="C98" s="125"/>
      <c r="D98" s="125"/>
      <c r="E98" s="125"/>
    </row>
    <row r="99" spans="3:5">
      <c r="C99" s="125"/>
      <c r="D99" s="125"/>
      <c r="E99" s="125"/>
    </row>
    <row r="100" spans="3:5">
      <c r="C100" s="125"/>
      <c r="D100" s="125"/>
      <c r="E100" s="125"/>
    </row>
    <row r="101" spans="3:5">
      <c r="C101" s="125"/>
      <c r="D101" s="125"/>
      <c r="E101" s="125"/>
    </row>
    <row r="102" spans="3:5">
      <c r="C102" s="125"/>
      <c r="D102" s="125"/>
      <c r="E102" s="125"/>
    </row>
    <row r="103" spans="3:5">
      <c r="C103" s="125"/>
      <c r="D103" s="125"/>
      <c r="E103" s="125"/>
    </row>
    <row r="104" spans="3:5">
      <c r="C104" s="125"/>
      <c r="D104" s="125"/>
      <c r="E104" s="125"/>
    </row>
    <row r="105" spans="3:5">
      <c r="C105" s="125"/>
      <c r="D105" s="125"/>
      <c r="E105" s="125"/>
    </row>
    <row r="106" spans="3:5">
      <c r="C106" s="125"/>
      <c r="D106" s="125"/>
      <c r="E106" s="125"/>
    </row>
    <row r="107" spans="3:5">
      <c r="C107" s="125"/>
      <c r="D107" s="125"/>
      <c r="E107" s="125"/>
    </row>
    <row r="108" spans="3:5">
      <c r="C108" s="125"/>
      <c r="D108" s="125"/>
      <c r="E108" s="125"/>
    </row>
    <row r="109" spans="3:5">
      <c r="C109" s="125"/>
      <c r="D109" s="125"/>
      <c r="E109" s="125"/>
    </row>
    <row r="110" spans="3:5">
      <c r="C110" s="125"/>
      <c r="D110" s="125"/>
      <c r="E110" s="125"/>
    </row>
    <row r="111" spans="3:5">
      <c r="C111" s="125"/>
      <c r="D111" s="125"/>
      <c r="E111" s="125"/>
    </row>
    <row r="112" spans="3:5">
      <c r="C112" s="125"/>
      <c r="D112" s="125"/>
      <c r="E112" s="125"/>
    </row>
    <row r="113" spans="3:5">
      <c r="C113" s="125"/>
      <c r="D113" s="125"/>
      <c r="E113" s="125"/>
    </row>
    <row r="114" spans="3:5">
      <c r="C114" s="125"/>
      <c r="D114" s="125"/>
      <c r="E114" s="125"/>
    </row>
    <row r="115" spans="3:5">
      <c r="C115" s="125"/>
      <c r="D115" s="125"/>
      <c r="E115" s="125"/>
    </row>
    <row r="116" spans="3:5">
      <c r="C116" s="125"/>
      <c r="D116" s="125"/>
      <c r="E116" s="125"/>
    </row>
    <row r="117" spans="3:5">
      <c r="C117" s="125"/>
      <c r="D117" s="125"/>
      <c r="E117" s="125"/>
    </row>
    <row r="118" spans="3:5">
      <c r="C118" s="125"/>
      <c r="D118" s="125"/>
      <c r="E118" s="125"/>
    </row>
    <row r="119" spans="3:5">
      <c r="C119" s="125"/>
      <c r="D119" s="125"/>
      <c r="E119" s="125"/>
    </row>
    <row r="120" spans="3:5">
      <c r="C120" s="125"/>
      <c r="D120" s="125"/>
      <c r="E120" s="125"/>
    </row>
    <row r="121" spans="3:5">
      <c r="C121" s="125"/>
      <c r="D121" s="125"/>
      <c r="E121" s="125"/>
    </row>
  </sheetData>
  <printOptions horizontalCentered="1"/>
  <pageMargins left="3.937007874015748E-2" right="3.937007874015748E-2" top="3.937007874015748E-2" bottom="3.937007874015748E-2" header="3.937007874015748E-2" footer="3.937007874015748E-2"/>
  <pageSetup paperSize="9" scale="91" orientation="portrait" r:id="rId1"/>
  <rowBreaks count="1" manualBreakCount="1">
    <brk id="32"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rightToLeft="1" view="pageLayout" zoomScaleNormal="130" zoomScaleSheetLayoutView="100" workbookViewId="0">
      <selection activeCell="H13" sqref="H13"/>
    </sheetView>
  </sheetViews>
  <sheetFormatPr defaultColWidth="9" defaultRowHeight="19.5"/>
  <cols>
    <col min="1" max="1" width="1.42578125" style="5" customWidth="1"/>
    <col min="2" max="2" width="29.140625" style="19" customWidth="1"/>
    <col min="3" max="3" width="1" style="19" customWidth="1"/>
    <col min="4" max="4" width="10.5703125" style="19" customWidth="1"/>
    <col min="5" max="5" width="1" style="19" customWidth="1"/>
    <col min="6" max="6" width="10.5703125" style="19" customWidth="1"/>
    <col min="7" max="7" width="1" style="19" customWidth="1"/>
    <col min="8" max="8" width="10.5703125" style="19" customWidth="1"/>
    <col min="9" max="9" width="1" style="19" customWidth="1"/>
    <col min="10" max="10" width="3" style="19" customWidth="1"/>
    <col min="11" max="11" width="1" style="5" customWidth="1"/>
    <col min="12" max="12" width="10.5703125" style="14" customWidth="1"/>
    <col min="13" max="13" width="0.7109375" style="5" customWidth="1"/>
    <col min="14" max="14" width="10.5703125" style="15" customWidth="1"/>
    <col min="15" max="15" width="1" style="5" customWidth="1"/>
    <col min="16" max="16" width="3.140625" style="5" customWidth="1"/>
    <col min="17" max="17" width="28.140625" style="5" customWidth="1"/>
    <col min="18" max="18" width="17.140625" style="5" customWidth="1"/>
    <col min="19" max="16384" width="9" style="5"/>
  </cols>
  <sheetData>
    <row r="1" spans="1:21" ht="20.25">
      <c r="A1" s="765" t="str">
        <f>مفروضات!$C$1</f>
        <v>دانشگاه علوم پزشکی و خدمات بهداشتی درمانی سمنان</v>
      </c>
      <c r="B1" s="766"/>
      <c r="C1" s="766"/>
      <c r="D1" s="766"/>
      <c r="E1" s="766"/>
      <c r="F1" s="766"/>
      <c r="G1" s="766"/>
      <c r="H1" s="766"/>
      <c r="I1" s="766"/>
      <c r="J1" s="766"/>
      <c r="K1" s="766"/>
      <c r="L1" s="766"/>
      <c r="M1" s="766"/>
      <c r="N1" s="766"/>
      <c r="O1" s="81"/>
      <c r="P1" s="4"/>
      <c r="Q1" s="4"/>
      <c r="R1" s="4"/>
      <c r="S1" s="4"/>
    </row>
    <row r="2" spans="1:21" s="26" customFormat="1" ht="21">
      <c r="B2" s="809" t="s">
        <v>33</v>
      </c>
      <c r="C2" s="809"/>
      <c r="D2" s="809"/>
      <c r="E2" s="809"/>
      <c r="F2" s="809"/>
      <c r="G2" s="809"/>
      <c r="H2" s="809"/>
      <c r="I2" s="809"/>
      <c r="J2" s="809"/>
      <c r="K2" s="809"/>
      <c r="L2" s="809"/>
      <c r="M2" s="809"/>
      <c r="N2" s="809"/>
      <c r="O2" s="809"/>
      <c r="P2" s="27"/>
    </row>
    <row r="3" spans="1:21" s="1" customFormat="1" ht="21.75" customHeight="1">
      <c r="A3" s="26"/>
      <c r="B3" s="809" t="str">
        <f>مفروضات!$C$7</f>
        <v>سال مالي منتهي به 29 اسفند ماه 1402</v>
      </c>
      <c r="C3" s="809"/>
      <c r="D3" s="809"/>
      <c r="E3" s="809"/>
      <c r="F3" s="809"/>
      <c r="G3" s="809"/>
      <c r="H3" s="809"/>
      <c r="I3" s="809"/>
      <c r="J3" s="809"/>
      <c r="K3" s="809"/>
      <c r="L3" s="809"/>
      <c r="M3" s="809"/>
      <c r="N3" s="809"/>
      <c r="O3" s="809"/>
      <c r="P3" s="27"/>
      <c r="Q3" s="26"/>
      <c r="R3" s="26"/>
      <c r="S3" s="26"/>
      <c r="T3" s="26"/>
    </row>
    <row r="4" spans="1:21" s="1" customFormat="1" ht="22.5" customHeight="1">
      <c r="B4" s="3"/>
      <c r="C4" s="3"/>
      <c r="D4" s="3"/>
      <c r="E4" s="3"/>
      <c r="F4" s="3"/>
      <c r="G4" s="3"/>
      <c r="H4" s="3"/>
      <c r="I4" s="3"/>
      <c r="J4" s="3"/>
      <c r="K4" s="3"/>
      <c r="L4" s="139"/>
      <c r="N4" s="139"/>
      <c r="O4" s="3"/>
      <c r="P4" s="3"/>
    </row>
    <row r="5" spans="1:21" s="1" customFormat="1" ht="22.5" customHeight="1">
      <c r="B5" s="72" t="s">
        <v>1223</v>
      </c>
      <c r="C5" s="72"/>
      <c r="D5" s="72"/>
      <c r="E5" s="72"/>
      <c r="F5" s="72"/>
      <c r="G5" s="72"/>
      <c r="H5" s="72"/>
      <c r="I5" s="72"/>
      <c r="J5" s="72"/>
      <c r="K5" s="72"/>
      <c r="L5" s="72"/>
      <c r="M5" s="72"/>
      <c r="N5" s="72"/>
      <c r="O5" s="3"/>
      <c r="P5" s="3"/>
    </row>
    <row r="6" spans="1:21" s="1" customFormat="1" ht="22.5" customHeight="1">
      <c r="B6" s="16"/>
      <c r="C6" s="16"/>
      <c r="D6" s="16"/>
      <c r="E6" s="16"/>
      <c r="F6" s="16"/>
      <c r="G6" s="16"/>
      <c r="H6" s="16"/>
      <c r="I6" s="16"/>
      <c r="J6" s="201"/>
      <c r="K6" s="16"/>
      <c r="L6" s="119">
        <f>مفروضات!$C$3</f>
        <v>1402</v>
      </c>
      <c r="M6" s="31"/>
      <c r="N6" s="32">
        <f>مفروضات!$C$4</f>
        <v>1401</v>
      </c>
      <c r="O6" s="3"/>
      <c r="P6" s="3"/>
    </row>
    <row r="7" spans="1:21" s="1" customFormat="1" ht="22.5" customHeight="1">
      <c r="B7" s="3"/>
      <c r="C7" s="3"/>
      <c r="D7" s="3"/>
      <c r="E7" s="3"/>
      <c r="F7" s="3"/>
      <c r="G7" s="3"/>
      <c r="H7" s="3"/>
      <c r="I7" s="3"/>
      <c r="J7"/>
      <c r="K7" s="3"/>
      <c r="L7" s="58" t="s">
        <v>103</v>
      </c>
      <c r="N7" s="58" t="s">
        <v>103</v>
      </c>
      <c r="O7" s="3"/>
      <c r="P7" s="3"/>
    </row>
    <row r="8" spans="1:21" s="1" customFormat="1" ht="22.5" customHeight="1">
      <c r="B8" s="3" t="s">
        <v>77</v>
      </c>
      <c r="C8" s="3"/>
      <c r="D8" s="3"/>
      <c r="E8" s="3"/>
      <c r="F8" s="3"/>
      <c r="G8" s="3"/>
      <c r="H8" s="3"/>
      <c r="I8" s="3"/>
      <c r="J8" s="3"/>
      <c r="K8" s="3"/>
      <c r="L8" s="314">
        <f>-('16-17-18'!S11)</f>
        <v>337001078121</v>
      </c>
      <c r="M8" s="310"/>
      <c r="N8" s="314">
        <f>-('16-17-18'!U11)</f>
        <v>358405101131</v>
      </c>
      <c r="O8" s="3"/>
      <c r="P8" s="3"/>
    </row>
    <row r="9" spans="1:21" s="1" customFormat="1" ht="22.5" customHeight="1">
      <c r="B9" s="3" t="s">
        <v>1026</v>
      </c>
      <c r="C9" s="3"/>
      <c r="D9" s="3"/>
      <c r="E9" s="3"/>
      <c r="F9" s="3"/>
      <c r="G9" s="3"/>
      <c r="H9" s="3"/>
      <c r="I9" s="3"/>
      <c r="J9" s="3"/>
      <c r="K9" s="3"/>
      <c r="L9" s="314">
        <f>-('16-17-18'!S30)</f>
        <v>277067483597</v>
      </c>
      <c r="M9" s="310"/>
      <c r="N9" s="314">
        <f>-('16-17-18'!U30)</f>
        <v>158678935395</v>
      </c>
      <c r="O9" s="3"/>
      <c r="P9" s="3"/>
    </row>
    <row r="10" spans="1:21" ht="22.5" customHeight="1" thickBot="1">
      <c r="A10" s="6"/>
      <c r="K10" s="19"/>
      <c r="L10" s="316">
        <f>SUM(L8:L9)</f>
        <v>614068561718</v>
      </c>
      <c r="M10" s="310"/>
      <c r="N10" s="316">
        <f>SUM(N8:N9)</f>
        <v>517084036526</v>
      </c>
      <c r="O10" s="6"/>
      <c r="P10" s="6"/>
      <c r="Q10" s="6"/>
      <c r="R10" s="6"/>
      <c r="S10" s="6"/>
    </row>
    <row r="11" spans="1:21" ht="22.5" customHeight="1" thickTop="1">
      <c r="O11" s="16"/>
      <c r="P11" s="16"/>
      <c r="Q11" s="14"/>
      <c r="R11" s="14"/>
      <c r="T11" s="15"/>
      <c r="U11" s="18"/>
    </row>
    <row r="12" spans="1:21" ht="22.5" customHeight="1">
      <c r="B12" s="72" t="s">
        <v>1224</v>
      </c>
      <c r="L12" s="661">
        <v>1402</v>
      </c>
      <c r="N12" s="660">
        <v>1401</v>
      </c>
      <c r="O12" s="16"/>
      <c r="P12" s="16"/>
      <c r="Q12" s="14"/>
      <c r="R12" s="14"/>
      <c r="T12" s="15"/>
      <c r="U12" s="18"/>
    </row>
    <row r="13" spans="1:21" s="1" customFormat="1" ht="22.5" customHeight="1">
      <c r="B13" s="3"/>
      <c r="C13" s="3"/>
      <c r="D13" s="3"/>
      <c r="E13" s="3"/>
      <c r="F13" s="3"/>
      <c r="G13" s="3"/>
      <c r="H13" s="3"/>
      <c r="I13" s="3"/>
      <c r="J13"/>
      <c r="K13" s="3"/>
      <c r="L13" s="58" t="s">
        <v>103</v>
      </c>
      <c r="N13" s="58" t="s">
        <v>103</v>
      </c>
      <c r="O13" s="3"/>
      <c r="P13" s="3"/>
    </row>
    <row r="14" spans="1:21" s="1" customFormat="1" ht="22.5" customHeight="1">
      <c r="B14" s="3" t="s">
        <v>957</v>
      </c>
      <c r="C14" s="3"/>
      <c r="D14" s="3"/>
      <c r="E14" s="3"/>
      <c r="F14" s="3"/>
      <c r="G14" s="3"/>
      <c r="H14" s="3"/>
      <c r="I14" s="3"/>
      <c r="J14" s="3"/>
      <c r="K14" s="3"/>
      <c r="L14" s="314">
        <v>207030006815</v>
      </c>
      <c r="M14" s="310"/>
      <c r="N14" s="314">
        <v>141166523000</v>
      </c>
      <c r="O14" s="3"/>
      <c r="P14" s="3"/>
    </row>
    <row r="15" spans="1:21" s="1" customFormat="1" ht="22.5" customHeight="1">
      <c r="B15" s="3" t="s">
        <v>958</v>
      </c>
      <c r="C15" s="3"/>
      <c r="D15" s="3"/>
      <c r="E15" s="3"/>
      <c r="F15" s="3"/>
      <c r="G15" s="3"/>
      <c r="H15" s="3"/>
      <c r="I15" s="3"/>
      <c r="J15" s="3"/>
      <c r="K15" s="3"/>
      <c r="L15" s="314">
        <v>15367918835</v>
      </c>
      <c r="M15" s="310"/>
      <c r="N15" s="314">
        <v>9906996835</v>
      </c>
      <c r="O15" s="3"/>
      <c r="P15" s="3"/>
    </row>
    <row r="16" spans="1:21" s="1" customFormat="1" ht="22.5" customHeight="1">
      <c r="B16" s="3" t="s">
        <v>959</v>
      </c>
      <c r="C16" s="3"/>
      <c r="D16" s="3"/>
      <c r="E16" s="3"/>
      <c r="F16" s="3"/>
      <c r="G16" s="3"/>
      <c r="H16" s="3"/>
      <c r="I16" s="3"/>
      <c r="J16" s="3"/>
      <c r="K16" s="3"/>
      <c r="L16" s="314">
        <v>72274015986</v>
      </c>
      <c r="M16" s="310"/>
      <c r="N16" s="314">
        <v>29120332029</v>
      </c>
      <c r="O16" s="3"/>
      <c r="P16" s="3"/>
    </row>
    <row r="17" spans="2:20" ht="22.5" customHeight="1" thickBot="1">
      <c r="K17" s="19"/>
      <c r="L17" s="316">
        <f>SUM(L14:L16)</f>
        <v>294671941636</v>
      </c>
      <c r="M17" s="310"/>
      <c r="N17" s="316">
        <f>SUM(N14:N16)</f>
        <v>180193851864</v>
      </c>
      <c r="O17" s="19"/>
      <c r="P17" s="19"/>
      <c r="R17" s="14"/>
      <c r="T17" s="15"/>
    </row>
    <row r="18" spans="2:20" ht="20.25" thickTop="1"/>
    <row r="23" spans="2:20" ht="79.5" customHeight="1">
      <c r="B23" s="880"/>
      <c r="C23" s="880"/>
      <c r="D23" s="880"/>
      <c r="E23" s="880"/>
      <c r="F23" s="880"/>
      <c r="G23" s="880"/>
      <c r="H23" s="880"/>
      <c r="I23" s="880"/>
      <c r="J23" s="880"/>
      <c r="K23" s="880"/>
      <c r="L23" s="880"/>
      <c r="M23" s="880"/>
      <c r="N23" s="880"/>
    </row>
  </sheetData>
  <mergeCells count="4">
    <mergeCell ref="B23:N23"/>
    <mergeCell ref="A1:N1"/>
    <mergeCell ref="B2:O2"/>
    <mergeCell ref="B3:O3"/>
  </mergeCells>
  <printOptions horizontalCentered="1"/>
  <pageMargins left="0.55118110236220474" right="0.70866141732283472" top="0.47244094488188981" bottom="0.74803149606299213" header="0.31496062992125984" footer="0.31496062992125984"/>
  <pageSetup paperSize="9" scale="82" firstPageNumber="29" orientation="portrait" useFirstPageNumber="1" r:id="rId1"/>
  <headerFooter>
    <oddFooter>&amp;C&amp;"B Nazanin,Regular"&amp;P</oddFooter>
  </headerFooter>
  <colBreaks count="1" manualBreakCount="1">
    <brk id="14" max="3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rightToLeft="1" view="pageBreakPreview" topLeftCell="A43" zoomScaleNormal="140" zoomScaleSheetLayoutView="100" workbookViewId="0">
      <selection activeCell="B56" sqref="B56"/>
    </sheetView>
  </sheetViews>
  <sheetFormatPr defaultColWidth="9" defaultRowHeight="19.5"/>
  <cols>
    <col min="1" max="1" width="2.7109375" style="5" customWidth="1"/>
    <col min="2" max="2" width="50.42578125" style="19" customWidth="1"/>
    <col min="3" max="3" width="0.85546875" style="19" customWidth="1"/>
    <col min="4" max="4" width="15.7109375" style="19" customWidth="1"/>
    <col min="5" max="5" width="0.42578125" style="19" customWidth="1"/>
    <col min="6" max="6" width="12.140625" style="19" hidden="1" customWidth="1"/>
    <col min="7" max="7" width="0.42578125" style="19" customWidth="1"/>
    <col min="8" max="8" width="19.28515625" style="19" customWidth="1"/>
    <col min="9" max="9" width="0.42578125" style="19" customWidth="1"/>
    <col min="10" max="10" width="12.140625" style="19" customWidth="1"/>
    <col min="11" max="11" width="0.42578125" style="5" customWidth="1"/>
    <col min="12" max="12" width="12.140625" style="14" hidden="1" customWidth="1"/>
    <col min="13" max="13" width="0.42578125" style="5" customWidth="1"/>
    <col min="14" max="14" width="12.140625" style="15" customWidth="1"/>
    <col min="15" max="15" width="0.42578125" style="5" customWidth="1"/>
    <col min="16" max="16384" width="9" style="5"/>
  </cols>
  <sheetData>
    <row r="1" spans="1:22" ht="21.75" customHeight="1">
      <c r="A1" s="765" t="str">
        <f>مفروضات!$C$1</f>
        <v>دانشگاه علوم پزشکی و خدمات بهداشتی درمانی سمنان</v>
      </c>
      <c r="B1" s="765"/>
      <c r="C1" s="765"/>
      <c r="D1" s="765"/>
      <c r="E1" s="765"/>
      <c r="F1" s="765"/>
      <c r="G1" s="765"/>
      <c r="H1" s="765"/>
      <c r="I1" s="6"/>
      <c r="J1" s="6"/>
      <c r="K1" s="6"/>
      <c r="L1" s="6"/>
      <c r="M1" s="6"/>
      <c r="N1" s="6"/>
    </row>
    <row r="2" spans="1:22" ht="21.75" customHeight="1">
      <c r="A2" s="809" t="s">
        <v>33</v>
      </c>
      <c r="B2" s="809"/>
      <c r="C2" s="809"/>
      <c r="D2" s="809"/>
      <c r="E2" s="809"/>
      <c r="F2" s="809"/>
      <c r="G2" s="809"/>
      <c r="H2" s="809"/>
      <c r="I2" s="460"/>
      <c r="J2" s="460"/>
      <c r="K2" s="460"/>
      <c r="L2" s="460"/>
      <c r="M2" s="460"/>
      <c r="N2" s="460"/>
    </row>
    <row r="3" spans="1:22" ht="21.75" customHeight="1">
      <c r="A3" s="809" t="str">
        <f>مفروضات!$C$7</f>
        <v>سال مالي منتهي به 29 اسفند ماه 1402</v>
      </c>
      <c r="B3" s="809"/>
      <c r="C3" s="809"/>
      <c r="D3" s="809"/>
      <c r="E3" s="809"/>
      <c r="F3" s="809"/>
      <c r="G3" s="809"/>
      <c r="H3" s="809"/>
      <c r="I3" s="460"/>
      <c r="J3" s="460"/>
      <c r="K3" s="460"/>
      <c r="L3" s="460"/>
      <c r="M3" s="460"/>
      <c r="N3" s="460"/>
    </row>
    <row r="4" spans="1:22" ht="18.75" customHeight="1">
      <c r="B4" s="883" t="s">
        <v>1225</v>
      </c>
      <c r="C4" s="883"/>
      <c r="D4" s="883"/>
      <c r="E4" s="883"/>
      <c r="F4" s="883"/>
      <c r="G4" s="883"/>
      <c r="H4" s="883"/>
      <c r="I4" s="883"/>
      <c r="J4" s="883"/>
      <c r="K4" s="883"/>
      <c r="L4" s="883"/>
      <c r="M4" s="883"/>
      <c r="N4" s="883"/>
    </row>
    <row r="5" spans="1:22" ht="17.25" customHeight="1">
      <c r="B5" s="16"/>
      <c r="C5" s="16"/>
      <c r="D5" s="114">
        <f>مفروضات!$C$3</f>
        <v>1402</v>
      </c>
      <c r="E5" s="16"/>
      <c r="F5" s="16"/>
      <c r="G5" s="16"/>
      <c r="H5" s="92">
        <f>مفروضات!$C$4</f>
        <v>1401</v>
      </c>
      <c r="I5" s="16"/>
      <c r="K5" s="14"/>
      <c r="M5" s="14"/>
      <c r="O5" s="71"/>
      <c r="P5" s="71"/>
      <c r="Q5" s="71"/>
      <c r="R5" s="71"/>
      <c r="S5" s="71"/>
      <c r="T5" s="71"/>
      <c r="U5" s="71"/>
      <c r="V5" s="71"/>
    </row>
    <row r="6" spans="1:22" ht="17.25" customHeight="1">
      <c r="B6" s="3"/>
      <c r="C6" s="3"/>
      <c r="D6" s="20" t="s">
        <v>104</v>
      </c>
      <c r="E6" s="3"/>
      <c r="F6" s="3"/>
      <c r="G6" s="3"/>
      <c r="H6" s="20" t="s">
        <v>104</v>
      </c>
      <c r="I6" s="3"/>
      <c r="K6" s="1"/>
      <c r="L6" s="5"/>
      <c r="O6" s="71"/>
      <c r="P6" s="71"/>
      <c r="Q6" s="71"/>
      <c r="R6" s="71"/>
      <c r="S6" s="71"/>
      <c r="T6" s="71"/>
      <c r="U6" s="71"/>
      <c r="V6" s="71"/>
    </row>
    <row r="7" spans="1:22" ht="17.25" customHeight="1">
      <c r="B7" s="3" t="s">
        <v>982</v>
      </c>
      <c r="C7" s="3"/>
      <c r="D7" s="304">
        <v>177140925859</v>
      </c>
      <c r="E7" s="3"/>
      <c r="F7" s="3"/>
      <c r="G7" s="3"/>
      <c r="H7" s="20">
        <v>236188</v>
      </c>
      <c r="I7" s="3"/>
      <c r="K7" s="1"/>
      <c r="L7" s="5"/>
      <c r="O7" s="71"/>
      <c r="P7" s="71"/>
      <c r="Q7" s="71"/>
      <c r="R7" s="71"/>
      <c r="S7" s="71"/>
      <c r="T7" s="71"/>
      <c r="U7" s="71"/>
      <c r="V7" s="71"/>
    </row>
    <row r="8" spans="1:22" ht="17.25" customHeight="1">
      <c r="B8" s="3" t="s">
        <v>983</v>
      </c>
      <c r="C8" s="3"/>
      <c r="D8" s="320">
        <v>-20688279414</v>
      </c>
      <c r="E8" s="3"/>
      <c r="F8" s="3"/>
      <c r="G8" s="3"/>
      <c r="H8" s="20">
        <v>-56798</v>
      </c>
      <c r="I8" s="3"/>
      <c r="K8" s="1"/>
      <c r="L8" s="5"/>
      <c r="O8" s="71"/>
      <c r="P8" s="71"/>
      <c r="Q8" s="71"/>
      <c r="R8" s="71"/>
      <c r="S8" s="71"/>
      <c r="T8" s="71"/>
      <c r="U8" s="71"/>
      <c r="V8" s="71"/>
    </row>
    <row r="9" spans="1:22" ht="17.25" customHeight="1">
      <c r="B9" s="3" t="s">
        <v>107</v>
      </c>
      <c r="C9" s="3"/>
      <c r="D9" s="454">
        <v>156452646445</v>
      </c>
      <c r="E9" s="3"/>
      <c r="F9" s="3"/>
      <c r="G9" s="3"/>
      <c r="H9" s="454">
        <v>179390075564</v>
      </c>
      <c r="I9" s="3"/>
      <c r="K9" s="1"/>
      <c r="L9" s="5"/>
      <c r="M9" s="1"/>
      <c r="O9" s="71"/>
      <c r="P9" s="71"/>
      <c r="Q9" s="71"/>
      <c r="R9" s="71"/>
      <c r="S9" s="71"/>
      <c r="T9" s="71"/>
      <c r="U9" s="71"/>
      <c r="V9" s="71"/>
    </row>
    <row r="10" spans="1:22" ht="17.25" customHeight="1">
      <c r="B10" s="3" t="s">
        <v>106</v>
      </c>
      <c r="C10" s="3"/>
      <c r="D10" s="320">
        <v>-156452646445</v>
      </c>
      <c r="E10" s="3"/>
      <c r="F10" s="3"/>
      <c r="G10" s="3"/>
      <c r="H10" s="320">
        <v>-97405671445</v>
      </c>
      <c r="I10" s="3"/>
      <c r="K10" s="1"/>
      <c r="L10" s="5"/>
      <c r="M10" s="1"/>
      <c r="O10" s="77"/>
      <c r="P10" s="77"/>
      <c r="Q10" s="77"/>
      <c r="R10" s="77"/>
      <c r="S10" s="77"/>
      <c r="T10" s="77"/>
      <c r="U10" s="77"/>
      <c r="V10" s="77"/>
    </row>
    <row r="11" spans="1:22" ht="17.25" customHeight="1">
      <c r="B11" s="3" t="s">
        <v>298</v>
      </c>
      <c r="C11" s="3"/>
      <c r="D11" s="139">
        <v>0</v>
      </c>
      <c r="E11" s="3"/>
      <c r="F11" s="3"/>
      <c r="G11" s="3"/>
      <c r="H11" s="139">
        <v>0</v>
      </c>
      <c r="I11" s="3"/>
      <c r="K11" s="1"/>
      <c r="L11" s="5"/>
      <c r="M11" s="1"/>
      <c r="O11" s="77"/>
      <c r="P11" s="77"/>
      <c r="Q11" s="77"/>
      <c r="R11" s="77"/>
      <c r="S11" s="77"/>
      <c r="T11" s="77"/>
      <c r="U11" s="77"/>
      <c r="V11" s="77"/>
    </row>
    <row r="12" spans="1:22" ht="17.25" customHeight="1">
      <c r="B12" s="3" t="s">
        <v>299</v>
      </c>
      <c r="C12" s="3"/>
      <c r="D12" s="139" t="s">
        <v>455</v>
      </c>
      <c r="E12" s="3"/>
      <c r="F12" s="3"/>
      <c r="G12" s="3"/>
      <c r="H12" s="139" t="s">
        <v>455</v>
      </c>
      <c r="I12" s="3"/>
      <c r="K12" s="1"/>
      <c r="L12" s="5"/>
      <c r="M12" s="1"/>
      <c r="O12" s="77"/>
      <c r="P12" s="77"/>
      <c r="Q12" s="77"/>
      <c r="R12" s="77"/>
      <c r="S12" s="77"/>
      <c r="T12" s="77"/>
      <c r="U12" s="77"/>
      <c r="V12" s="77"/>
    </row>
    <row r="13" spans="1:22" ht="17.25" customHeight="1" thickBot="1">
      <c r="D13" s="140">
        <f>SUM(D9:D12)</f>
        <v>0</v>
      </c>
      <c r="H13" s="316">
        <f>SUM(H9:H12)</f>
        <v>81984404119</v>
      </c>
      <c r="L13" s="5"/>
      <c r="M13" s="1">
        <f>SUM(M9:M12)</f>
        <v>0</v>
      </c>
      <c r="O13" s="77"/>
      <c r="P13" s="77"/>
      <c r="Q13" s="77"/>
      <c r="R13" s="77"/>
      <c r="S13" s="77"/>
      <c r="T13" s="77"/>
      <c r="U13" s="77"/>
      <c r="V13" s="77"/>
    </row>
    <row r="14" spans="1:22" ht="17.25" customHeight="1" thickTop="1">
      <c r="D14" s="133"/>
      <c r="H14" s="137"/>
      <c r="L14" s="5"/>
      <c r="M14" s="1"/>
      <c r="O14" s="77"/>
      <c r="P14" s="77"/>
      <c r="Q14" s="77"/>
      <c r="R14" s="77"/>
      <c r="S14" s="77"/>
      <c r="T14" s="77"/>
      <c r="U14" s="77"/>
      <c r="V14" s="77"/>
    </row>
    <row r="15" spans="1:22" ht="96" customHeight="1">
      <c r="B15" s="852" t="s">
        <v>1226</v>
      </c>
      <c r="C15" s="852"/>
      <c r="D15" s="852"/>
      <c r="E15" s="852"/>
      <c r="F15" s="852"/>
      <c r="G15" s="852"/>
      <c r="H15" s="852"/>
      <c r="L15" s="5"/>
      <c r="M15" s="1"/>
      <c r="O15" s="77"/>
      <c r="P15" s="77"/>
      <c r="Q15" s="77"/>
      <c r="R15" s="77"/>
      <c r="S15" s="77"/>
      <c r="T15" s="77"/>
      <c r="U15" s="77"/>
      <c r="V15" s="77"/>
    </row>
    <row r="16" spans="1:22" ht="36" customHeight="1">
      <c r="B16" s="852" t="s">
        <v>1227</v>
      </c>
      <c r="C16" s="852"/>
      <c r="D16" s="852"/>
      <c r="E16" s="852"/>
      <c r="F16" s="852"/>
      <c r="G16" s="852"/>
      <c r="H16" s="852"/>
      <c r="L16" s="5"/>
      <c r="M16" s="1"/>
      <c r="O16" s="77"/>
      <c r="P16" s="77"/>
      <c r="Q16" s="77"/>
      <c r="R16" s="77"/>
      <c r="S16" s="77"/>
      <c r="T16" s="77"/>
      <c r="U16" s="77"/>
      <c r="V16" s="77"/>
    </row>
    <row r="17" spans="2:22" ht="66" customHeight="1">
      <c r="B17" s="852" t="s">
        <v>1228</v>
      </c>
      <c r="C17" s="852"/>
      <c r="D17" s="852"/>
      <c r="E17" s="852"/>
      <c r="F17" s="852"/>
      <c r="G17" s="852"/>
      <c r="H17" s="852"/>
      <c r="L17" s="5"/>
      <c r="M17" s="1"/>
      <c r="O17" s="77"/>
      <c r="P17" s="77"/>
      <c r="Q17" s="77"/>
      <c r="R17" s="77"/>
      <c r="S17" s="77"/>
      <c r="T17" s="77"/>
      <c r="U17" s="77"/>
      <c r="V17" s="77"/>
    </row>
    <row r="18" spans="2:22" ht="36" customHeight="1">
      <c r="B18" s="852" t="s">
        <v>1229</v>
      </c>
      <c r="C18" s="852"/>
      <c r="D18" s="852"/>
      <c r="E18" s="852"/>
      <c r="F18" s="852"/>
      <c r="G18" s="852"/>
      <c r="H18" s="852"/>
      <c r="L18" s="5"/>
      <c r="M18" s="1"/>
      <c r="O18" s="77"/>
      <c r="P18" s="77"/>
      <c r="Q18" s="77"/>
      <c r="R18" s="77"/>
      <c r="S18" s="77"/>
      <c r="T18" s="77"/>
      <c r="U18" s="77"/>
      <c r="V18" s="77"/>
    </row>
    <row r="19" spans="2:22" ht="21.75" hidden="1" customHeight="1">
      <c r="B19" s="882" t="s">
        <v>1027</v>
      </c>
      <c r="C19" s="882"/>
      <c r="D19" s="882"/>
      <c r="E19" s="882"/>
      <c r="F19" s="882"/>
      <c r="G19" s="882"/>
      <c r="H19" s="882"/>
      <c r="I19" s="882"/>
      <c r="J19" s="882"/>
      <c r="K19" s="882"/>
      <c r="L19" s="882"/>
      <c r="M19" s="882"/>
      <c r="N19" s="882"/>
    </row>
    <row r="20" spans="2:22" ht="19.899999999999999" hidden="1" customHeight="1">
      <c r="B20" s="882" t="s">
        <v>630</v>
      </c>
      <c r="C20" s="882"/>
      <c r="D20" s="882"/>
      <c r="E20" s="882"/>
      <c r="F20" s="882"/>
      <c r="G20" s="882"/>
      <c r="H20" s="882"/>
      <c r="I20" s="882"/>
      <c r="J20" s="882"/>
      <c r="K20" s="882"/>
      <c r="L20" s="882"/>
      <c r="M20" s="882"/>
      <c r="N20" s="882"/>
      <c r="O20" s="882"/>
    </row>
    <row r="21" spans="2:22" ht="15.75" hidden="1" customHeight="1">
      <c r="B21" s="35"/>
      <c r="C21" s="35"/>
      <c r="D21" s="817">
        <f>مفروضات!$C$3</f>
        <v>1402</v>
      </c>
      <c r="E21" s="817"/>
      <c r="F21" s="817"/>
      <c r="G21" s="817"/>
      <c r="H21" s="817"/>
      <c r="I21" s="35"/>
      <c r="J21" s="798">
        <f>مفروضات!$C$4</f>
        <v>1401</v>
      </c>
      <c r="K21" s="798"/>
      <c r="L21" s="798"/>
      <c r="M21" s="798"/>
      <c r="N21" s="798"/>
    </row>
    <row r="22" spans="2:22" ht="21" hidden="1">
      <c r="B22" s="35"/>
      <c r="C22" s="35"/>
      <c r="D22" s="189" t="s">
        <v>18</v>
      </c>
      <c r="E22" s="35"/>
      <c r="F22" s="189" t="s">
        <v>19</v>
      </c>
      <c r="G22" s="35"/>
      <c r="H22" s="189" t="s">
        <v>18</v>
      </c>
      <c r="I22" s="35"/>
      <c r="J22" s="189" t="s">
        <v>18</v>
      </c>
      <c r="K22" s="1"/>
      <c r="L22" s="84" t="s">
        <v>19</v>
      </c>
      <c r="M22" s="1"/>
      <c r="N22" s="189" t="s">
        <v>18</v>
      </c>
    </row>
    <row r="23" spans="2:22" ht="15.75" hidden="1" customHeight="1">
      <c r="B23" s="3" t="s">
        <v>185</v>
      </c>
      <c r="D23" s="314">
        <v>177140925859</v>
      </c>
      <c r="E23" s="311"/>
      <c r="F23" s="314">
        <v>0</v>
      </c>
      <c r="G23" s="311"/>
      <c r="H23" s="314">
        <f>D23+F23</f>
        <v>177140925859</v>
      </c>
      <c r="I23" s="35"/>
      <c r="J23" s="314">
        <v>236187900859</v>
      </c>
      <c r="K23" s="1"/>
      <c r="L23" s="139">
        <v>0</v>
      </c>
      <c r="M23" s="1"/>
      <c r="N23" s="314">
        <f>J23+L23</f>
        <v>236187900859</v>
      </c>
    </row>
    <row r="24" spans="2:22" ht="15.75" hidden="1" customHeight="1">
      <c r="B24" s="3" t="s">
        <v>184</v>
      </c>
      <c r="D24" s="139">
        <v>0</v>
      </c>
      <c r="E24" s="35"/>
      <c r="F24" s="139">
        <v>0</v>
      </c>
      <c r="G24" s="35"/>
      <c r="H24" s="139">
        <v>0</v>
      </c>
      <c r="I24" s="35"/>
      <c r="J24" s="139">
        <v>0</v>
      </c>
      <c r="K24" s="1"/>
      <c r="L24" s="139">
        <v>0</v>
      </c>
      <c r="M24" s="1"/>
      <c r="N24" s="139">
        <v>0</v>
      </c>
    </row>
    <row r="25" spans="2:22" ht="15.75" hidden="1" customHeight="1">
      <c r="B25" s="3" t="s">
        <v>183</v>
      </c>
      <c r="D25" s="139">
        <v>0</v>
      </c>
      <c r="E25" s="35"/>
      <c r="F25" s="139">
        <v>0</v>
      </c>
      <c r="G25" s="35"/>
      <c r="H25" s="139">
        <v>0</v>
      </c>
      <c r="I25" s="35"/>
      <c r="J25" s="139">
        <v>0</v>
      </c>
      <c r="K25" s="1"/>
      <c r="L25" s="139">
        <v>0</v>
      </c>
      <c r="M25" s="1"/>
      <c r="N25" s="139">
        <v>0</v>
      </c>
    </row>
    <row r="26" spans="2:22" ht="15.75" hidden="1" customHeight="1">
      <c r="B26" s="109"/>
      <c r="D26" s="319">
        <f>SUM(D23:D25)</f>
        <v>177140925859</v>
      </c>
      <c r="E26" s="311"/>
      <c r="F26" s="319">
        <f>SUM(F23:F25)</f>
        <v>0</v>
      </c>
      <c r="G26" s="311"/>
      <c r="H26" s="319">
        <f>SUM(H23:H25)</f>
        <v>177140925859</v>
      </c>
      <c r="I26" s="35"/>
      <c r="J26" s="319">
        <f>SUM(J23:J25)</f>
        <v>236187900859</v>
      </c>
      <c r="K26" s="1"/>
      <c r="L26" s="144">
        <f>SUM(L23:L25)</f>
        <v>0</v>
      </c>
      <c r="M26" s="1"/>
      <c r="N26" s="319">
        <f>SUM(N23:N25)</f>
        <v>236187900859</v>
      </c>
    </row>
    <row r="27" spans="2:22" ht="15.75" hidden="1" customHeight="1">
      <c r="B27" s="109" t="s">
        <v>182</v>
      </c>
      <c r="D27" s="320">
        <v>-20688279414</v>
      </c>
      <c r="E27" s="321"/>
      <c r="F27" s="320">
        <v>0</v>
      </c>
      <c r="G27" s="321"/>
      <c r="H27" s="320">
        <f>F27+D27</f>
        <v>-20688279414</v>
      </c>
      <c r="I27" s="35"/>
      <c r="J27" s="320">
        <v>-56797825295</v>
      </c>
      <c r="K27" s="1"/>
      <c r="L27" s="145">
        <v>0</v>
      </c>
      <c r="M27" s="1"/>
      <c r="N27" s="320">
        <f>J27</f>
        <v>-56797825295</v>
      </c>
    </row>
    <row r="28" spans="2:22" ht="15.75" hidden="1" customHeight="1">
      <c r="B28" s="109"/>
      <c r="D28" s="319">
        <f>SUM(D26:D27)</f>
        <v>156452646445</v>
      </c>
      <c r="E28" s="35"/>
      <c r="F28" s="144">
        <f>SUM(F26:F27)</f>
        <v>0</v>
      </c>
      <c r="G28" s="35"/>
      <c r="H28" s="319">
        <f>SUM(H26:H27)</f>
        <v>156452646445</v>
      </c>
      <c r="I28" s="35"/>
      <c r="J28" s="319">
        <f>SUM(J26:J27)</f>
        <v>179390075564</v>
      </c>
      <c r="K28" s="1"/>
      <c r="L28" s="144">
        <f>SUM(L26:L27)</f>
        <v>0</v>
      </c>
      <c r="M28" s="1"/>
      <c r="N28" s="319">
        <f>SUM(N26:N27)</f>
        <v>179390075564</v>
      </c>
    </row>
    <row r="29" spans="2:22" ht="15.75" hidden="1" customHeight="1">
      <c r="B29" s="109" t="s">
        <v>186</v>
      </c>
      <c r="D29" s="145">
        <v>0</v>
      </c>
      <c r="E29" s="35"/>
      <c r="F29" s="145">
        <v>0</v>
      </c>
      <c r="G29" s="35"/>
      <c r="H29" s="145">
        <v>0</v>
      </c>
      <c r="I29" s="35"/>
      <c r="J29" s="320">
        <v>-81984404119</v>
      </c>
      <c r="K29" s="1"/>
      <c r="L29" s="145">
        <v>0</v>
      </c>
      <c r="M29" s="1"/>
      <c r="N29" s="320">
        <f>J29+L29</f>
        <v>-81984404119</v>
      </c>
    </row>
    <row r="30" spans="2:22" ht="15.75" hidden="1" customHeight="1">
      <c r="B30" s="109" t="s">
        <v>187</v>
      </c>
      <c r="D30" s="319">
        <f>SUM(D28:D29)</f>
        <v>156452646445</v>
      </c>
      <c r="E30" s="35"/>
      <c r="F30" s="144">
        <f>SUM(F28:F29)</f>
        <v>0</v>
      </c>
      <c r="G30" s="35"/>
      <c r="H30" s="319">
        <f>SUM(H28:H29)</f>
        <v>156452646445</v>
      </c>
      <c r="I30" s="35"/>
      <c r="J30" s="319">
        <f>SUM(J28:J29)</f>
        <v>97405671445</v>
      </c>
      <c r="K30" s="1"/>
      <c r="L30" s="144">
        <f>SUM(L28:L29)</f>
        <v>0</v>
      </c>
      <c r="M30" s="1"/>
      <c r="N30" s="319">
        <f>SUM(N28:N29)</f>
        <v>97405671445</v>
      </c>
    </row>
    <row r="31" spans="2:22" ht="13.5" hidden="1" customHeight="1">
      <c r="B31" s="109" t="s">
        <v>631</v>
      </c>
      <c r="D31" s="145">
        <v>0</v>
      </c>
      <c r="E31" s="35"/>
      <c r="F31" s="145">
        <v>0</v>
      </c>
      <c r="G31" s="35"/>
      <c r="H31" s="145">
        <v>0</v>
      </c>
      <c r="I31" s="35"/>
      <c r="J31" s="145">
        <v>0</v>
      </c>
      <c r="K31" s="1"/>
      <c r="L31" s="145">
        <v>0</v>
      </c>
      <c r="M31" s="1"/>
      <c r="N31" s="145">
        <v>0</v>
      </c>
    </row>
    <row r="32" spans="2:22" ht="18.75" hidden="1" customHeight="1" thickBot="1">
      <c r="D32" s="316">
        <f>SUM(D30:D31)</f>
        <v>156452646445</v>
      </c>
      <c r="E32" s="311"/>
      <c r="F32" s="316">
        <f>SUM(F30:F31)</f>
        <v>0</v>
      </c>
      <c r="G32" s="311"/>
      <c r="H32" s="316">
        <f>SUM(H30:H31)</f>
        <v>156452646445</v>
      </c>
      <c r="I32" s="35"/>
      <c r="J32" s="316">
        <f>SUM(J30:J31)</f>
        <v>97405671445</v>
      </c>
      <c r="K32" s="1"/>
      <c r="L32" s="140">
        <f>SUM(L30:L31)</f>
        <v>0</v>
      </c>
      <c r="M32" s="1"/>
      <c r="N32" s="316">
        <f>SUM(N30:N31)</f>
        <v>97405671445</v>
      </c>
    </row>
    <row r="33" spans="1:19" ht="18.75" customHeight="1">
      <c r="A33" s="6"/>
      <c r="B33" s="879" t="s">
        <v>1230</v>
      </c>
      <c r="C33" s="879"/>
      <c r="D33" s="879"/>
      <c r="E33" s="879"/>
      <c r="F33" s="879"/>
      <c r="G33" s="879"/>
      <c r="H33" s="879"/>
      <c r="I33" s="879"/>
      <c r="J33" s="879"/>
      <c r="K33" s="879"/>
      <c r="L33" s="879"/>
      <c r="M33" s="879"/>
      <c r="N33" s="879"/>
      <c r="O33" s="6"/>
      <c r="P33" s="6"/>
      <c r="Q33" s="6"/>
      <c r="R33" s="6"/>
      <c r="S33" s="6"/>
    </row>
    <row r="34" spans="1:19" ht="18.75" customHeight="1">
      <c r="B34" s="16"/>
      <c r="C34" s="16"/>
      <c r="D34" s="881">
        <f>مفروضات!$C$3</f>
        <v>1402</v>
      </c>
      <c r="E34" s="881"/>
      <c r="F34" s="881"/>
      <c r="G34" s="455"/>
      <c r="H34" s="394">
        <v>1401</v>
      </c>
      <c r="I34" s="16"/>
      <c r="J34" s="5"/>
      <c r="K34" s="455"/>
      <c r="L34" s="455"/>
      <c r="O34" s="18"/>
    </row>
    <row r="35" spans="1:19" s="1" customFormat="1" ht="18.75" customHeight="1">
      <c r="B35" s="3"/>
      <c r="C35" s="3"/>
      <c r="D35" s="186" t="s">
        <v>18</v>
      </c>
      <c r="E35" s="3"/>
      <c r="F35" s="186" t="s">
        <v>19</v>
      </c>
      <c r="H35" s="186" t="s">
        <v>18</v>
      </c>
      <c r="I35" s="3"/>
      <c r="L35" s="186" t="s">
        <v>19</v>
      </c>
    </row>
    <row r="36" spans="1:19" s="1" customFormat="1" ht="18.75" hidden="1" customHeight="1">
      <c r="B36" s="3" t="s">
        <v>190</v>
      </c>
      <c r="C36" s="3"/>
      <c r="D36" s="139">
        <v>0</v>
      </c>
      <c r="E36" s="3"/>
      <c r="F36" s="139">
        <v>0</v>
      </c>
      <c r="H36" s="139">
        <v>0</v>
      </c>
      <c r="I36" s="3"/>
      <c r="L36" s="139">
        <v>0</v>
      </c>
    </row>
    <row r="37" spans="1:19" s="1" customFormat="1" ht="6.75" hidden="1" customHeight="1">
      <c r="B37" s="3" t="s">
        <v>191</v>
      </c>
      <c r="C37" s="3"/>
      <c r="D37" s="139">
        <v>0</v>
      </c>
      <c r="E37" s="3"/>
      <c r="F37" s="139">
        <v>0</v>
      </c>
      <c r="H37" s="139">
        <v>0</v>
      </c>
      <c r="I37" s="3"/>
      <c r="L37" s="139">
        <v>0</v>
      </c>
    </row>
    <row r="38" spans="1:19" s="1" customFormat="1" ht="18.75" customHeight="1">
      <c r="B38" s="3" t="s">
        <v>192</v>
      </c>
      <c r="C38" s="3"/>
      <c r="D38" s="314">
        <v>156452646445</v>
      </c>
      <c r="E38" s="3"/>
      <c r="F38" s="139">
        <v>0</v>
      </c>
      <c r="H38" s="314">
        <v>97405671445</v>
      </c>
      <c r="I38" s="3"/>
      <c r="L38" s="139">
        <v>0</v>
      </c>
    </row>
    <row r="39" spans="1:19" s="1" customFormat="1" ht="18.75" hidden="1" customHeight="1">
      <c r="B39" s="3" t="s">
        <v>181</v>
      </c>
      <c r="C39" s="3"/>
      <c r="D39" s="139">
        <v>0</v>
      </c>
      <c r="E39" s="3"/>
      <c r="F39" s="139">
        <v>0</v>
      </c>
      <c r="H39" s="139">
        <v>0</v>
      </c>
      <c r="I39" s="3"/>
      <c r="L39" s="139">
        <v>0</v>
      </c>
    </row>
    <row r="40" spans="1:19" ht="18.75" hidden="1" customHeight="1">
      <c r="B40" s="19" t="s">
        <v>534</v>
      </c>
      <c r="D40" s="139">
        <v>0</v>
      </c>
      <c r="E40" s="35"/>
      <c r="F40" s="139">
        <v>0</v>
      </c>
      <c r="G40" s="1"/>
      <c r="H40" s="139">
        <v>0</v>
      </c>
      <c r="I40" s="35"/>
      <c r="J40" s="5"/>
      <c r="K40" s="1"/>
      <c r="L40" s="139">
        <v>0</v>
      </c>
      <c r="M40" s="1"/>
      <c r="N40" s="2"/>
    </row>
    <row r="41" spans="1:19" ht="18.75" hidden="1" customHeight="1">
      <c r="B41" s="19" t="s">
        <v>535</v>
      </c>
      <c r="D41" s="139">
        <v>0</v>
      </c>
      <c r="E41" s="35"/>
      <c r="F41" s="139">
        <v>0</v>
      </c>
      <c r="G41" s="1"/>
      <c r="H41" s="139">
        <v>0</v>
      </c>
      <c r="I41" s="35"/>
      <c r="J41" s="5"/>
      <c r="K41" s="1"/>
      <c r="L41" s="139">
        <v>0</v>
      </c>
      <c r="M41" s="1"/>
      <c r="N41" s="2"/>
    </row>
    <row r="42" spans="1:19" ht="18.75" hidden="1" customHeight="1">
      <c r="B42" s="19" t="s">
        <v>180</v>
      </c>
      <c r="D42" s="139">
        <v>0</v>
      </c>
      <c r="E42" s="35"/>
      <c r="F42" s="139">
        <v>0</v>
      </c>
      <c r="G42" s="1"/>
      <c r="H42" s="139">
        <v>0</v>
      </c>
      <c r="I42" s="35"/>
      <c r="J42" s="5"/>
      <c r="K42" s="1"/>
      <c r="L42" s="139">
        <v>0</v>
      </c>
      <c r="M42" s="1"/>
      <c r="N42" s="2"/>
    </row>
    <row r="43" spans="1:19" ht="18.75" customHeight="1" thickBot="1">
      <c r="D43" s="316">
        <f>SUM(D36:D42)</f>
        <v>156452646445</v>
      </c>
      <c r="E43" s="35"/>
      <c r="F43" s="140">
        <f>SUM(F36:F42)</f>
        <v>0</v>
      </c>
      <c r="G43" s="1"/>
      <c r="H43" s="316">
        <f>SUM(H36:H42)</f>
        <v>97405671445</v>
      </c>
      <c r="I43" s="35"/>
      <c r="J43" s="5"/>
      <c r="K43" s="1"/>
      <c r="L43" s="140">
        <f>SUM(L36:L42)</f>
        <v>0</v>
      </c>
      <c r="M43" s="1"/>
      <c r="N43" s="2"/>
    </row>
    <row r="44" spans="1:19" ht="7.5" customHeight="1" thickTop="1">
      <c r="D44" s="2"/>
      <c r="E44" s="35"/>
      <c r="F44" s="2"/>
      <c r="G44" s="35"/>
      <c r="H44" s="2"/>
      <c r="I44" s="35"/>
      <c r="J44" s="2"/>
      <c r="K44" s="1"/>
      <c r="L44" s="2"/>
      <c r="M44" s="1"/>
      <c r="N44" s="2"/>
    </row>
    <row r="45" spans="1:19" ht="18.75" customHeight="1">
      <c r="A45" s="6"/>
      <c r="B45" s="879" t="s">
        <v>1231</v>
      </c>
      <c r="C45" s="879"/>
      <c r="D45" s="879"/>
      <c r="E45" s="879"/>
      <c r="F45" s="879"/>
      <c r="G45" s="879"/>
      <c r="H45" s="879"/>
      <c r="I45" s="879"/>
      <c r="J45" s="879"/>
      <c r="K45" s="879"/>
      <c r="L45" s="879"/>
      <c r="M45" s="879"/>
      <c r="N45" s="879"/>
      <c r="O45" s="6"/>
      <c r="P45" s="6"/>
      <c r="Q45" s="6"/>
      <c r="R45" s="6"/>
      <c r="S45" s="6"/>
    </row>
    <row r="46" spans="1:19" ht="17.25" customHeight="1">
      <c r="B46" s="16"/>
      <c r="C46" s="16"/>
      <c r="D46" s="876">
        <v>1402</v>
      </c>
      <c r="E46" s="876"/>
      <c r="F46" s="876"/>
      <c r="G46" s="14"/>
      <c r="H46" s="17"/>
      <c r="I46" s="16"/>
      <c r="J46" s="5"/>
      <c r="L46" s="5"/>
      <c r="O46" s="18"/>
    </row>
    <row r="47" spans="1:19" s="1" customFormat="1" ht="17.25" customHeight="1">
      <c r="B47" s="3"/>
      <c r="C47" s="3"/>
      <c r="D47" s="186" t="s">
        <v>18</v>
      </c>
      <c r="F47" s="186" t="s">
        <v>19</v>
      </c>
      <c r="G47" s="5"/>
      <c r="H47" s="20"/>
      <c r="I47" s="3"/>
    </row>
    <row r="48" spans="1:19" s="1" customFormat="1" ht="17.25" customHeight="1">
      <c r="B48" s="281">
        <v>1403</v>
      </c>
      <c r="C48" s="3"/>
      <c r="D48" s="314">
        <f>D38</f>
        <v>156452646445</v>
      </c>
      <c r="F48" s="139">
        <v>0</v>
      </c>
      <c r="H48" s="58"/>
      <c r="I48" s="3"/>
    </row>
    <row r="49" spans="1:19" s="1" customFormat="1" ht="17.25" hidden="1" customHeight="1">
      <c r="B49" s="281">
        <v>1404</v>
      </c>
      <c r="C49" s="3"/>
      <c r="D49" s="139">
        <v>0</v>
      </c>
      <c r="F49" s="139">
        <v>0</v>
      </c>
      <c r="H49" s="58"/>
      <c r="I49" s="3"/>
    </row>
    <row r="50" spans="1:19" s="1" customFormat="1" ht="17.25" hidden="1" customHeight="1">
      <c r="B50" s="281">
        <v>1405</v>
      </c>
      <c r="C50" s="3"/>
      <c r="D50" s="139">
        <v>0</v>
      </c>
      <c r="F50" s="139">
        <v>0</v>
      </c>
      <c r="H50" s="58"/>
      <c r="I50" s="3"/>
    </row>
    <row r="51" spans="1:19" ht="17.25" hidden="1" customHeight="1">
      <c r="B51" s="281">
        <v>1406</v>
      </c>
      <c r="D51" s="139">
        <v>0</v>
      </c>
      <c r="E51" s="1"/>
      <c r="F51" s="139">
        <v>0</v>
      </c>
      <c r="G51" s="1"/>
      <c r="H51" s="58"/>
      <c r="I51" s="35"/>
      <c r="J51" s="5"/>
      <c r="L51" s="5"/>
      <c r="M51" s="1"/>
      <c r="N51" s="2"/>
    </row>
    <row r="52" spans="1:19" ht="17.25" hidden="1" customHeight="1">
      <c r="B52" s="282" t="s">
        <v>632</v>
      </c>
      <c r="D52" s="139">
        <v>0</v>
      </c>
      <c r="E52" s="1"/>
      <c r="F52" s="139">
        <v>0</v>
      </c>
      <c r="G52" s="1"/>
      <c r="H52" s="58"/>
      <c r="I52" s="35"/>
      <c r="J52" s="5"/>
      <c r="L52" s="5"/>
      <c r="M52" s="1"/>
      <c r="N52" s="2"/>
    </row>
    <row r="53" spans="1:19" ht="17.25" customHeight="1" thickBot="1">
      <c r="B53" s="109"/>
      <c r="D53" s="316">
        <f>SUM(D48:D52)</f>
        <v>156452646445</v>
      </c>
      <c r="E53" s="1"/>
      <c r="F53" s="140">
        <f>SUM(F48:F52)</f>
        <v>0</v>
      </c>
      <c r="G53" s="1"/>
      <c r="H53" s="2"/>
      <c r="I53" s="35"/>
      <c r="J53" s="5"/>
      <c r="L53" s="5"/>
      <c r="M53" s="1"/>
      <c r="N53" s="2"/>
    </row>
    <row r="54" spans="1:19" ht="19.899999999999999" customHeight="1" thickTop="1">
      <c r="D54" s="2"/>
      <c r="E54" s="35"/>
      <c r="F54" s="3"/>
      <c r="G54" s="35"/>
      <c r="H54" s="2"/>
      <c r="I54" s="35"/>
      <c r="J54" s="2"/>
      <c r="K54" s="1"/>
      <c r="L54" s="2"/>
      <c r="M54" s="1"/>
      <c r="N54" s="2"/>
    </row>
    <row r="55" spans="1:19" ht="18.75" customHeight="1">
      <c r="A55" s="6"/>
      <c r="B55" s="879" t="s">
        <v>1232</v>
      </c>
      <c r="C55" s="879"/>
      <c r="D55" s="879"/>
      <c r="E55" s="879"/>
      <c r="F55" s="879"/>
      <c r="G55" s="879"/>
      <c r="H55" s="879"/>
      <c r="I55" s="879"/>
      <c r="J55" s="879"/>
      <c r="K55" s="879"/>
      <c r="L55" s="879"/>
      <c r="M55" s="879"/>
      <c r="N55" s="879"/>
      <c r="O55" s="6"/>
      <c r="P55" s="6"/>
      <c r="Q55" s="6"/>
      <c r="R55" s="6"/>
      <c r="S55" s="6"/>
    </row>
    <row r="56" spans="1:19" ht="21" customHeight="1">
      <c r="B56" s="16"/>
      <c r="C56" s="16"/>
      <c r="D56" s="881">
        <f>مفروضات!$C$3</f>
        <v>1402</v>
      </c>
      <c r="E56" s="881"/>
      <c r="F56" s="881"/>
      <c r="G56" s="455"/>
      <c r="H56" s="394">
        <v>1401</v>
      </c>
      <c r="I56" s="16"/>
      <c r="J56" s="5"/>
      <c r="K56" s="14"/>
      <c r="O56" s="18"/>
    </row>
    <row r="57" spans="1:19" s="1" customFormat="1" ht="19.5" customHeight="1">
      <c r="B57" s="3"/>
      <c r="C57" s="3"/>
      <c r="D57" s="186" t="s">
        <v>18</v>
      </c>
      <c r="E57" s="3"/>
      <c r="F57" s="186" t="s">
        <v>19</v>
      </c>
      <c r="H57" s="186" t="s">
        <v>18</v>
      </c>
      <c r="I57" s="3"/>
    </row>
    <row r="58" spans="1:19" s="1" customFormat="1" ht="19.5" customHeight="1">
      <c r="B58" s="3"/>
      <c r="C58" s="3"/>
      <c r="D58" s="590">
        <v>600000000000</v>
      </c>
      <c r="E58" s="3"/>
      <c r="F58" s="58"/>
      <c r="H58" s="590">
        <v>600000000000</v>
      </c>
      <c r="I58" s="3"/>
    </row>
    <row r="59" spans="1:19" s="1" customFormat="1" ht="21.75" customHeight="1" thickBot="1">
      <c r="B59" s="3" t="s">
        <v>179</v>
      </c>
      <c r="C59" s="3"/>
      <c r="D59" s="316">
        <f>D58</f>
        <v>600000000000</v>
      </c>
      <c r="E59" s="3"/>
      <c r="F59" s="139"/>
      <c r="H59" s="316">
        <f>H58</f>
        <v>600000000000</v>
      </c>
      <c r="I59" s="3"/>
    </row>
    <row r="60" spans="1:19" ht="20.25" thickTop="1"/>
  </sheetData>
  <mergeCells count="18">
    <mergeCell ref="B17:H17"/>
    <mergeCell ref="B18:H18"/>
    <mergeCell ref="A1:H1"/>
    <mergeCell ref="A2:H2"/>
    <mergeCell ref="A3:H3"/>
    <mergeCell ref="B4:N4"/>
    <mergeCell ref="B15:H15"/>
    <mergeCell ref="B16:H16"/>
    <mergeCell ref="B19:N19"/>
    <mergeCell ref="B33:N33"/>
    <mergeCell ref="B45:N45"/>
    <mergeCell ref="D46:F46"/>
    <mergeCell ref="D34:F34"/>
    <mergeCell ref="D56:F56"/>
    <mergeCell ref="B55:N55"/>
    <mergeCell ref="B20:O20"/>
    <mergeCell ref="D21:H21"/>
    <mergeCell ref="J21:N21"/>
  </mergeCells>
  <printOptions horizontalCentered="1"/>
  <pageMargins left="0.27559055118110237" right="0.55118110236220474" top="0.39370078740157483" bottom="0.27559055118110237" header="0.31496062992125984" footer="0.31496062992125984"/>
  <pageSetup paperSize="9" scale="66" firstPageNumber="30" orientation="portrait" useFirstPageNumber="1" r:id="rId1"/>
  <headerFooter>
    <oddFooter>&amp;C&amp;"B Nazanin,Regular"&amp;P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rightToLeft="1" view="pageBreakPreview" topLeftCell="A31" zoomScaleNormal="120" zoomScaleSheetLayoutView="100" workbookViewId="0">
      <selection activeCell="C9" sqref="C9"/>
    </sheetView>
  </sheetViews>
  <sheetFormatPr defaultColWidth="9" defaultRowHeight="19.5"/>
  <cols>
    <col min="1" max="1" width="24.5703125" style="19" customWidth="1"/>
    <col min="2" max="2" width="0.5703125" style="19" customWidth="1"/>
    <col min="3" max="3" width="9.42578125" style="19" customWidth="1"/>
    <col min="4" max="4" width="0.7109375" style="19" customWidth="1"/>
    <col min="5" max="5" width="8.28515625" style="19" hidden="1" customWidth="1"/>
    <col min="6" max="6" width="0.7109375" style="19" hidden="1" customWidth="1"/>
    <col min="7" max="7" width="10.28515625" style="19" hidden="1" customWidth="1"/>
    <col min="8" max="8" width="0.7109375" style="19" hidden="1" customWidth="1"/>
    <col min="9" max="9" width="10.140625" style="19" hidden="1" customWidth="1"/>
    <col min="10" max="10" width="0.7109375" style="19" hidden="1" customWidth="1"/>
    <col min="11" max="11" width="9.140625" style="19" hidden="1" customWidth="1"/>
    <col min="12" max="12" width="0.5703125" style="19" hidden="1" customWidth="1"/>
    <col min="13" max="13" width="8.7109375" style="19" hidden="1" customWidth="1"/>
    <col min="14" max="14" width="0.5703125" style="19" hidden="1" customWidth="1"/>
    <col min="15" max="15" width="9.140625" style="19" hidden="1" customWidth="1"/>
    <col min="16" max="16" width="0.5703125" style="19" customWidth="1"/>
    <col min="17" max="17" width="7.42578125" style="19" customWidth="1"/>
    <col min="18" max="18" width="1.140625" style="5" hidden="1" customWidth="1"/>
    <col min="19" max="19" width="16.140625" style="14" customWidth="1"/>
    <col min="20" max="20" width="1" style="5" customWidth="1"/>
    <col min="21" max="21" width="16.7109375" style="15" customWidth="1"/>
    <col min="22" max="22" width="1" style="5" customWidth="1"/>
    <col min="23" max="23" width="3.140625" style="5" customWidth="1"/>
    <col min="24" max="24" width="28.140625" style="5" customWidth="1"/>
    <col min="25" max="25" width="17.140625" style="5" customWidth="1"/>
    <col min="26" max="26" width="15.140625" style="5" bestFit="1" customWidth="1"/>
    <col min="27" max="27" width="13.7109375" style="5" bestFit="1" customWidth="1"/>
    <col min="28" max="16384" width="9" style="5"/>
  </cols>
  <sheetData>
    <row r="1" spans="1:27" ht="21">
      <c r="A1" s="807" t="str">
        <f>مفروضات!$C$1</f>
        <v>دانشگاه علوم پزشکی و خدمات بهداشتی درمانی سمنان</v>
      </c>
      <c r="B1" s="807"/>
      <c r="C1" s="807"/>
      <c r="D1" s="807"/>
      <c r="E1" s="807"/>
      <c r="F1" s="807"/>
      <c r="G1" s="807"/>
      <c r="H1" s="807"/>
      <c r="I1" s="807"/>
      <c r="J1" s="807"/>
      <c r="K1" s="807"/>
      <c r="L1" s="807"/>
      <c r="M1" s="807"/>
      <c r="N1" s="807"/>
      <c r="O1" s="807"/>
      <c r="P1" s="807"/>
      <c r="Q1" s="807"/>
      <c r="R1" s="808"/>
      <c r="S1" s="808"/>
      <c r="T1" s="808"/>
      <c r="U1" s="808"/>
      <c r="V1" s="624"/>
      <c r="W1" s="4"/>
      <c r="X1" s="4"/>
      <c r="Y1" s="4"/>
      <c r="Z1" s="4"/>
    </row>
    <row r="2" spans="1:27" s="26" customFormat="1" ht="21">
      <c r="A2" s="809" t="s">
        <v>33</v>
      </c>
      <c r="B2" s="809"/>
      <c r="C2" s="809"/>
      <c r="D2" s="809"/>
      <c r="E2" s="809"/>
      <c r="F2" s="809"/>
      <c r="G2" s="809"/>
      <c r="H2" s="809"/>
      <c r="I2" s="809"/>
      <c r="J2" s="809"/>
      <c r="K2" s="809"/>
      <c r="L2" s="809"/>
      <c r="M2" s="809"/>
      <c r="N2" s="809"/>
      <c r="O2" s="809"/>
      <c r="P2" s="809"/>
      <c r="Q2" s="809"/>
      <c r="R2" s="809"/>
      <c r="S2" s="809"/>
      <c r="T2" s="809"/>
      <c r="U2" s="809"/>
      <c r="V2" s="809"/>
      <c r="W2" s="27"/>
    </row>
    <row r="3" spans="1:27" s="1" customFormat="1" ht="21.75">
      <c r="A3" s="809" t="str">
        <f>مفروضات!$C$7</f>
        <v>سال مالي منتهي به 29 اسفند ماه 1402</v>
      </c>
      <c r="B3" s="809"/>
      <c r="C3" s="809"/>
      <c r="D3" s="809"/>
      <c r="E3" s="809"/>
      <c r="F3" s="809"/>
      <c r="G3" s="809"/>
      <c r="H3" s="809"/>
      <c r="I3" s="809"/>
      <c r="J3" s="809"/>
      <c r="K3" s="809"/>
      <c r="L3" s="809"/>
      <c r="M3" s="809"/>
      <c r="N3" s="809"/>
      <c r="O3" s="809"/>
      <c r="P3" s="809"/>
      <c r="Q3" s="809"/>
      <c r="R3" s="809"/>
      <c r="S3" s="809"/>
      <c r="T3" s="809"/>
      <c r="U3" s="809"/>
      <c r="V3" s="809"/>
      <c r="W3" s="27"/>
      <c r="X3" s="26"/>
      <c r="Y3" s="26"/>
      <c r="Z3" s="26"/>
      <c r="AA3" s="26"/>
    </row>
    <row r="4" spans="1:27" ht="18.75" customHeight="1">
      <c r="A4" s="796" t="s">
        <v>1233</v>
      </c>
      <c r="B4" s="796"/>
      <c r="C4" s="796"/>
      <c r="D4" s="796"/>
      <c r="E4" s="796"/>
      <c r="F4" s="796"/>
      <c r="G4" s="796"/>
      <c r="H4" s="796"/>
      <c r="I4" s="796"/>
      <c r="J4" s="796"/>
      <c r="K4" s="796"/>
      <c r="L4" s="796"/>
      <c r="M4" s="796"/>
      <c r="N4" s="796"/>
      <c r="O4" s="796"/>
      <c r="P4" s="796"/>
      <c r="Q4" s="796"/>
      <c r="R4" s="796"/>
      <c r="S4" s="796"/>
      <c r="T4" s="796"/>
      <c r="U4" s="796"/>
      <c r="V4" s="26"/>
      <c r="W4" s="6"/>
      <c r="X4" s="6"/>
      <c r="Y4" s="6"/>
      <c r="Z4" s="6"/>
    </row>
    <row r="5" spans="1:27" ht="18.75" customHeight="1">
      <c r="A5" s="59"/>
      <c r="B5" s="59"/>
      <c r="C5" s="59"/>
      <c r="D5" s="59"/>
      <c r="E5" s="59"/>
      <c r="F5" s="59"/>
      <c r="G5" s="59"/>
      <c r="H5" s="59"/>
      <c r="I5" s="59"/>
      <c r="J5" s="59"/>
      <c r="K5" s="59"/>
      <c r="L5" s="59"/>
      <c r="M5" s="59"/>
      <c r="N5" s="59"/>
      <c r="O5" s="59"/>
      <c r="P5" s="59"/>
      <c r="Q5" s="189" t="s">
        <v>116</v>
      </c>
      <c r="R5" s="31"/>
      <c r="S5" s="119">
        <f>مفروضات!$C$3</f>
        <v>1402</v>
      </c>
      <c r="T5" s="31"/>
      <c r="U5" s="32">
        <f>مفروضات!$C$4</f>
        <v>1401</v>
      </c>
      <c r="V5" s="34"/>
    </row>
    <row r="6" spans="1:27" s="1" customFormat="1" ht="18.75" customHeight="1">
      <c r="A6" s="3"/>
      <c r="B6" s="3"/>
      <c r="C6" s="3"/>
      <c r="D6" s="3"/>
      <c r="E6" s="3"/>
      <c r="F6" s="3"/>
      <c r="G6" s="3"/>
      <c r="H6" s="3"/>
      <c r="I6" s="3"/>
      <c r="J6" s="3"/>
      <c r="K6" s="3"/>
      <c r="L6" s="3"/>
      <c r="M6" s="3"/>
      <c r="N6" s="3"/>
      <c r="O6" s="3"/>
      <c r="P6" s="3"/>
      <c r="Q6" s="3"/>
      <c r="S6" s="58" t="s">
        <v>104</v>
      </c>
      <c r="U6" s="58" t="s">
        <v>104</v>
      </c>
    </row>
    <row r="7" spans="1:27" s="1" customFormat="1" ht="17.45" customHeight="1">
      <c r="A7" s="3" t="s">
        <v>10</v>
      </c>
      <c r="B7" s="3"/>
      <c r="C7" s="3"/>
      <c r="D7" s="3"/>
      <c r="E7" s="3"/>
      <c r="F7" s="3"/>
      <c r="G7" s="3"/>
      <c r="H7" s="3"/>
      <c r="I7" s="3"/>
      <c r="J7" s="3"/>
      <c r="K7" s="3"/>
      <c r="L7" s="3"/>
      <c r="M7" s="3"/>
      <c r="N7" s="3"/>
      <c r="O7" s="3"/>
      <c r="P7" s="3"/>
      <c r="Q7" s="3"/>
      <c r="R7" s="44"/>
      <c r="S7" s="304">
        <v>4658244060087</v>
      </c>
      <c r="T7" s="456"/>
      <c r="U7" s="304">
        <v>4573684034801</v>
      </c>
    </row>
    <row r="8" spans="1:27" s="1" customFormat="1" ht="17.45" customHeight="1">
      <c r="A8" s="3" t="s">
        <v>810</v>
      </c>
      <c r="B8" s="3"/>
      <c r="C8" s="3"/>
      <c r="D8" s="3"/>
      <c r="E8" s="3"/>
      <c r="F8" s="3"/>
      <c r="G8" s="3"/>
      <c r="H8" s="3"/>
      <c r="I8" s="3"/>
      <c r="J8" s="3"/>
      <c r="K8" s="3"/>
      <c r="L8" s="3"/>
      <c r="M8" s="3"/>
      <c r="N8" s="3"/>
      <c r="O8" s="3"/>
      <c r="P8" s="3"/>
      <c r="Q8" s="3"/>
      <c r="R8" s="44"/>
      <c r="S8" s="304">
        <v>-432132029076</v>
      </c>
      <c r="T8" s="456"/>
      <c r="U8" s="304">
        <v>-333602523292</v>
      </c>
    </row>
    <row r="9" spans="1:27" s="1" customFormat="1" ht="17.45" customHeight="1">
      <c r="A9" s="3" t="s">
        <v>11</v>
      </c>
      <c r="B9" s="3"/>
      <c r="C9" s="3"/>
      <c r="D9" s="3"/>
      <c r="E9" s="3"/>
      <c r="F9" s="3"/>
      <c r="G9" s="3"/>
      <c r="H9" s="3"/>
      <c r="I9" s="3"/>
      <c r="J9" s="3"/>
      <c r="K9" s="3"/>
      <c r="L9" s="3"/>
      <c r="M9" s="3"/>
      <c r="N9" s="3"/>
      <c r="O9" s="3"/>
      <c r="P9" s="3"/>
      <c r="Q9" s="53" t="s">
        <v>1234</v>
      </c>
      <c r="R9" s="44"/>
      <c r="S9" s="320">
        <v>1186619673580</v>
      </c>
      <c r="T9" s="456"/>
      <c r="U9" s="320">
        <v>418162548578</v>
      </c>
    </row>
    <row r="10" spans="1:27" s="1" customFormat="1" ht="17.45" customHeight="1">
      <c r="A10" s="3" t="s">
        <v>15</v>
      </c>
      <c r="B10" s="3"/>
      <c r="C10" s="3"/>
      <c r="D10" s="3"/>
      <c r="E10" s="3"/>
      <c r="F10" s="3"/>
      <c r="G10" s="3"/>
      <c r="H10" s="3"/>
      <c r="I10" s="3"/>
      <c r="J10" s="3"/>
      <c r="K10" s="3"/>
      <c r="L10" s="3"/>
      <c r="M10" s="3"/>
      <c r="N10" s="3"/>
      <c r="O10" s="3"/>
      <c r="P10" s="3"/>
      <c r="Q10" s="53" t="s">
        <v>1235</v>
      </c>
      <c r="R10" s="44"/>
      <c r="S10" s="304">
        <f>S7+S8+S9</f>
        <v>5412731704591</v>
      </c>
      <c r="T10" s="456"/>
      <c r="U10" s="304">
        <f>U7+U8+U9</f>
        <v>4658244060087</v>
      </c>
    </row>
    <row r="11" spans="1:27" s="1" customFormat="1" ht="18.75" customHeight="1">
      <c r="A11" s="3" t="s">
        <v>404</v>
      </c>
      <c r="B11" s="3"/>
      <c r="C11" s="3"/>
      <c r="D11" s="3"/>
      <c r="E11" s="3"/>
      <c r="F11" s="3"/>
      <c r="G11" s="3"/>
      <c r="H11" s="3"/>
      <c r="I11" s="3"/>
      <c r="J11" s="3"/>
      <c r="K11" s="3"/>
      <c r="L11" s="3"/>
      <c r="M11" s="3"/>
      <c r="N11" s="3"/>
      <c r="O11" s="3"/>
      <c r="P11" s="3"/>
      <c r="Q11" s="3"/>
      <c r="R11" s="44"/>
      <c r="S11" s="304">
        <v>-337001078121</v>
      </c>
      <c r="T11" s="456"/>
      <c r="U11" s="304">
        <v>-358405101131</v>
      </c>
    </row>
    <row r="12" spans="1:27" ht="19.5" customHeight="1" thickBot="1">
      <c r="A12" s="77"/>
      <c r="B12" s="77"/>
      <c r="C12" s="77"/>
      <c r="D12" s="77"/>
      <c r="E12" s="77"/>
      <c r="F12" s="77"/>
      <c r="G12" s="77"/>
      <c r="H12" s="77"/>
      <c r="I12" s="77"/>
      <c r="J12" s="77"/>
      <c r="K12" s="77"/>
      <c r="L12" s="77"/>
      <c r="M12" s="77"/>
      <c r="N12" s="77"/>
      <c r="O12" s="77"/>
      <c r="P12" s="77"/>
      <c r="Q12" s="77"/>
      <c r="R12" s="1"/>
      <c r="S12" s="309">
        <f>S10+S11</f>
        <v>5075730626470</v>
      </c>
      <c r="T12" s="456">
        <f>T10+T11</f>
        <v>0</v>
      </c>
      <c r="U12" s="309">
        <f>U10+U11</f>
        <v>4299838958956</v>
      </c>
      <c r="V12" s="1"/>
    </row>
    <row r="13" spans="1:27" ht="12" customHeight="1" thickTop="1">
      <c r="A13" s="77"/>
      <c r="B13" s="77"/>
      <c r="C13" s="77"/>
      <c r="D13" s="77"/>
      <c r="E13" s="77"/>
      <c r="F13" s="77"/>
      <c r="G13" s="77"/>
      <c r="H13" s="77"/>
      <c r="I13" s="77"/>
      <c r="J13" s="77"/>
      <c r="K13" s="77"/>
      <c r="L13" s="77"/>
      <c r="M13" s="77"/>
      <c r="N13" s="77"/>
      <c r="O13" s="77"/>
      <c r="P13" s="77"/>
      <c r="Q13" s="77"/>
      <c r="R13" s="1"/>
      <c r="S13" s="315"/>
      <c r="T13" s="456"/>
      <c r="U13" s="315"/>
      <c r="V13" s="1"/>
    </row>
    <row r="14" spans="1:27" ht="19.5" customHeight="1">
      <c r="A14" s="813" t="s">
        <v>1236</v>
      </c>
      <c r="B14" s="813"/>
      <c r="C14" s="813"/>
      <c r="D14" s="813"/>
      <c r="E14" s="813"/>
      <c r="F14" s="813"/>
      <c r="G14" s="813"/>
      <c r="H14" s="813"/>
      <c r="I14" s="813"/>
      <c r="J14" s="813"/>
      <c r="K14" s="813"/>
      <c r="L14" s="813"/>
      <c r="M14" s="813"/>
      <c r="N14" s="813"/>
      <c r="O14" s="813"/>
      <c r="P14" s="813"/>
      <c r="Q14" s="813"/>
      <c r="R14" s="813"/>
      <c r="S14" s="813"/>
      <c r="T14" s="813"/>
      <c r="U14" s="813"/>
      <c r="V14" s="1"/>
    </row>
    <row r="15" spans="1:27" ht="17.25" customHeight="1">
      <c r="A15" s="816" t="s">
        <v>1237</v>
      </c>
      <c r="B15" s="816"/>
      <c r="C15" s="816"/>
      <c r="D15" s="816"/>
      <c r="E15" s="816"/>
      <c r="F15" s="816"/>
      <c r="G15" s="816"/>
      <c r="H15" s="816"/>
      <c r="I15" s="816"/>
      <c r="J15" s="816"/>
      <c r="K15" s="816"/>
      <c r="L15" s="816"/>
      <c r="M15" s="816"/>
      <c r="N15" s="816"/>
      <c r="O15" s="816"/>
      <c r="P15" s="816"/>
      <c r="Q15" s="816"/>
      <c r="R15" s="816"/>
      <c r="S15" s="816"/>
      <c r="T15" s="816"/>
      <c r="U15" s="816"/>
      <c r="V15" s="1"/>
    </row>
    <row r="16" spans="1:27" ht="21">
      <c r="A16" s="77"/>
      <c r="B16" s="77"/>
      <c r="C16" s="77"/>
      <c r="D16" s="77"/>
      <c r="E16" s="77"/>
      <c r="F16" s="77"/>
      <c r="G16" s="77"/>
      <c r="H16" s="77"/>
      <c r="I16" s="77"/>
      <c r="J16" s="77"/>
      <c r="K16" s="77"/>
      <c r="L16" s="77"/>
      <c r="M16" s="77"/>
      <c r="N16" s="77"/>
      <c r="O16" s="77"/>
      <c r="P16" s="77"/>
      <c r="Q16" s="77"/>
      <c r="R16" s="77"/>
      <c r="S16" s="119">
        <f>مفروضات!$C$3</f>
        <v>1402</v>
      </c>
      <c r="T16" s="31"/>
      <c r="U16" s="32">
        <f>مفروضات!$C$4</f>
        <v>1401</v>
      </c>
      <c r="V16" s="1"/>
    </row>
    <row r="17" spans="1:26" ht="17.25" customHeight="1">
      <c r="A17" s="77"/>
      <c r="B17" s="77"/>
      <c r="C17" s="77"/>
      <c r="D17" s="77"/>
      <c r="E17" s="77"/>
      <c r="F17" s="77"/>
      <c r="G17" s="77"/>
      <c r="H17" s="77"/>
      <c r="I17" s="77"/>
      <c r="J17" s="77"/>
      <c r="K17" s="77"/>
      <c r="L17" s="77"/>
      <c r="M17" s="77"/>
      <c r="N17" s="77"/>
      <c r="O17" s="77"/>
      <c r="P17" s="77"/>
      <c r="Q17" s="77"/>
      <c r="R17" s="77"/>
      <c r="S17" s="58" t="s">
        <v>104</v>
      </c>
      <c r="T17" s="1"/>
      <c r="U17" s="58" t="s">
        <v>104</v>
      </c>
      <c r="V17" s="1"/>
    </row>
    <row r="18" spans="1:26" ht="17.25" customHeight="1">
      <c r="A18" s="77" t="s">
        <v>308</v>
      </c>
      <c r="B18" s="77"/>
      <c r="C18" s="77"/>
      <c r="D18" s="77"/>
      <c r="E18" s="77"/>
      <c r="F18" s="77"/>
      <c r="G18" s="77"/>
      <c r="H18" s="77"/>
      <c r="I18" s="77"/>
      <c r="J18" s="77"/>
      <c r="K18" s="77"/>
      <c r="L18" s="77"/>
      <c r="M18" s="77"/>
      <c r="N18" s="77"/>
      <c r="O18" s="77"/>
      <c r="P18" s="77"/>
      <c r="Q18" s="77"/>
      <c r="R18" s="77"/>
      <c r="S18" s="304">
        <v>618574000559</v>
      </c>
      <c r="T18" s="456"/>
      <c r="U18" s="304">
        <v>512406846610</v>
      </c>
      <c r="V18" s="1"/>
    </row>
    <row r="19" spans="1:26" ht="17.25" customHeight="1">
      <c r="A19" s="77" t="s">
        <v>309</v>
      </c>
      <c r="B19" s="77"/>
      <c r="C19" s="77"/>
      <c r="D19" s="77"/>
      <c r="E19" s="77"/>
      <c r="F19" s="77"/>
      <c r="G19" s="77"/>
      <c r="H19" s="77"/>
      <c r="I19" s="77"/>
      <c r="J19" s="77"/>
      <c r="K19" s="77"/>
      <c r="L19" s="77"/>
      <c r="M19" s="77"/>
      <c r="N19" s="77"/>
      <c r="O19" s="77"/>
      <c r="P19" s="77"/>
      <c r="Q19" s="77"/>
      <c r="R19" s="77"/>
      <c r="S19" s="304">
        <v>100843886275</v>
      </c>
      <c r="T19" s="456"/>
      <c r="U19" s="304">
        <v>32506224635</v>
      </c>
      <c r="V19" s="1"/>
    </row>
    <row r="20" spans="1:26" ht="17.25" customHeight="1">
      <c r="A20" s="77" t="s">
        <v>310</v>
      </c>
      <c r="B20" s="77"/>
      <c r="C20" s="77"/>
      <c r="D20" s="77"/>
      <c r="E20" s="77"/>
      <c r="F20" s="77"/>
      <c r="G20" s="77"/>
      <c r="H20" s="77"/>
      <c r="I20" s="77"/>
      <c r="J20" s="77"/>
      <c r="K20" s="77"/>
      <c r="L20" s="77"/>
      <c r="M20" s="77"/>
      <c r="N20" s="77"/>
      <c r="O20" s="77"/>
      <c r="P20" s="77"/>
      <c r="Q20" s="77"/>
      <c r="R20" s="77"/>
      <c r="S20" s="304">
        <v>43332427901</v>
      </c>
      <c r="T20" s="456"/>
      <c r="U20" s="304">
        <v>17506222365</v>
      </c>
      <c r="V20" s="1"/>
    </row>
    <row r="21" spans="1:26" ht="17.25" customHeight="1">
      <c r="A21" s="77" t="s">
        <v>311</v>
      </c>
      <c r="B21" s="77"/>
      <c r="C21" s="77"/>
      <c r="D21" s="77"/>
      <c r="E21" s="77"/>
      <c r="F21" s="77"/>
      <c r="G21" s="77"/>
      <c r="H21" s="77"/>
      <c r="I21" s="77"/>
      <c r="J21" s="77"/>
      <c r="K21" s="77"/>
      <c r="L21" s="77"/>
      <c r="M21" s="77"/>
      <c r="N21" s="77"/>
      <c r="O21" s="77"/>
      <c r="P21" s="77"/>
      <c r="Q21" s="77"/>
      <c r="R21" s="77"/>
      <c r="S21" s="304">
        <v>3952946696280</v>
      </c>
      <c r="T21" s="456"/>
      <c r="U21" s="304">
        <v>3773177688671</v>
      </c>
      <c r="V21" s="1"/>
    </row>
    <row r="22" spans="1:26" ht="17.25" customHeight="1">
      <c r="A22" s="77" t="s">
        <v>312</v>
      </c>
      <c r="B22" s="77"/>
      <c r="C22" s="77"/>
      <c r="D22" s="77"/>
      <c r="E22" s="77"/>
      <c r="F22" s="77"/>
      <c r="G22" s="77"/>
      <c r="H22" s="77"/>
      <c r="I22" s="77"/>
      <c r="J22" s="77"/>
      <c r="K22" s="77"/>
      <c r="L22" s="77"/>
      <c r="M22" s="77"/>
      <c r="N22" s="77"/>
      <c r="O22" s="77"/>
      <c r="P22" s="77"/>
      <c r="Q22" s="77"/>
      <c r="R22" s="77"/>
      <c r="S22" s="304">
        <v>206799138012</v>
      </c>
      <c r="T22" s="456"/>
      <c r="U22" s="304">
        <v>46582440601</v>
      </c>
      <c r="V22" s="1"/>
    </row>
    <row r="23" spans="1:26" ht="17.25" customHeight="1">
      <c r="A23" s="77" t="s">
        <v>313</v>
      </c>
      <c r="B23" s="77"/>
      <c r="C23" s="77"/>
      <c r="D23" s="77"/>
      <c r="E23" s="77"/>
      <c r="F23" s="77"/>
      <c r="G23" s="77"/>
      <c r="H23" s="77"/>
      <c r="I23" s="77"/>
      <c r="J23" s="77"/>
      <c r="K23" s="77"/>
      <c r="L23" s="77"/>
      <c r="M23" s="77"/>
      <c r="N23" s="77"/>
      <c r="O23" s="77"/>
      <c r="P23" s="77"/>
      <c r="Q23" s="77"/>
      <c r="R23" s="77"/>
      <c r="S23" s="304">
        <v>380540000000</v>
      </c>
      <c r="T23" s="456"/>
      <c r="U23" s="304">
        <v>232912203005</v>
      </c>
      <c r="V23" s="1"/>
    </row>
    <row r="24" spans="1:26" ht="17.25" customHeight="1">
      <c r="A24" s="77" t="s">
        <v>51</v>
      </c>
      <c r="B24" s="77"/>
      <c r="C24" s="77"/>
      <c r="D24" s="77"/>
      <c r="E24" s="77"/>
      <c r="F24" s="77"/>
      <c r="G24" s="77"/>
      <c r="H24" s="77"/>
      <c r="I24" s="77"/>
      <c r="J24" s="77"/>
      <c r="K24" s="77"/>
      <c r="L24" s="77"/>
      <c r="M24" s="77"/>
      <c r="N24" s="77"/>
      <c r="O24" s="77"/>
      <c r="P24" s="77"/>
      <c r="Q24" s="77"/>
      <c r="R24" s="77"/>
      <c r="S24" s="304">
        <v>109695555564</v>
      </c>
      <c r="T24" s="456"/>
      <c r="U24" s="304">
        <v>43152434200</v>
      </c>
      <c r="V24" s="1"/>
    </row>
    <row r="25" spans="1:26" ht="17.25" customHeight="1" thickBot="1">
      <c r="A25" s="77"/>
      <c r="B25" s="77"/>
      <c r="C25" s="77"/>
      <c r="D25" s="77"/>
      <c r="E25" s="77"/>
      <c r="F25" s="77"/>
      <c r="G25" s="77"/>
      <c r="H25" s="77"/>
      <c r="I25" s="77"/>
      <c r="J25" s="77"/>
      <c r="K25" s="77"/>
      <c r="L25" s="77"/>
      <c r="M25" s="77"/>
      <c r="N25" s="77"/>
      <c r="O25" s="77"/>
      <c r="P25" s="77"/>
      <c r="Q25" s="77"/>
      <c r="R25" s="77"/>
      <c r="S25" s="309">
        <f>SUM(S18:S24)</f>
        <v>5412731704591</v>
      </c>
      <c r="T25" s="456"/>
      <c r="U25" s="309">
        <f>SUM(U18:U24)</f>
        <v>4658244060087</v>
      </c>
      <c r="V25" s="1"/>
    </row>
    <row r="26" spans="1:26" ht="17.25" customHeight="1" thickTop="1">
      <c r="A26" s="796" t="s">
        <v>1238</v>
      </c>
      <c r="B26" s="796"/>
      <c r="C26" s="796"/>
      <c r="D26" s="796"/>
      <c r="E26" s="796"/>
      <c r="F26" s="796"/>
      <c r="G26" s="796"/>
      <c r="H26" s="796"/>
      <c r="I26" s="796"/>
      <c r="J26" s="796"/>
      <c r="K26" s="796"/>
      <c r="L26" s="796"/>
      <c r="M26" s="796"/>
      <c r="N26" s="796"/>
      <c r="O26" s="796"/>
      <c r="P26" s="796"/>
      <c r="Q26" s="796"/>
      <c r="R26" s="796"/>
      <c r="S26" s="796"/>
      <c r="T26" s="796"/>
      <c r="U26" s="796"/>
      <c r="V26" s="26"/>
      <c r="W26" s="6"/>
      <c r="X26" s="6"/>
      <c r="Y26" s="6"/>
      <c r="Z26" s="6"/>
    </row>
    <row r="27" spans="1:26" ht="17.25" customHeight="1">
      <c r="A27" s="1"/>
      <c r="B27" s="93"/>
      <c r="C27" s="93"/>
      <c r="D27" s="93"/>
      <c r="E27" s="93"/>
      <c r="F27" s="93"/>
      <c r="G27" s="93"/>
      <c r="H27" s="93"/>
      <c r="I27" s="93"/>
      <c r="J27" s="93"/>
      <c r="K27" s="93"/>
      <c r="L27" s="93"/>
      <c r="M27" s="93"/>
      <c r="N27" s="93"/>
      <c r="O27" s="93"/>
      <c r="P27" s="93"/>
      <c r="Q27" s="130" t="s">
        <v>116</v>
      </c>
      <c r="R27" s="31"/>
      <c r="S27" s="119">
        <f>مفروضات!$C$3</f>
        <v>1402</v>
      </c>
      <c r="T27" s="31"/>
      <c r="U27" s="32">
        <f>مفروضات!$C$4</f>
        <v>1401</v>
      </c>
      <c r="V27" s="34"/>
    </row>
    <row r="28" spans="1:26" s="1" customFormat="1" ht="17.25" customHeight="1">
      <c r="A28" s="86"/>
      <c r="B28" s="93"/>
      <c r="C28" s="93"/>
      <c r="D28" s="93"/>
      <c r="E28" s="93"/>
      <c r="F28" s="93"/>
      <c r="G28" s="93"/>
      <c r="H28" s="93"/>
      <c r="I28" s="93"/>
      <c r="J28" s="93"/>
      <c r="K28" s="93"/>
      <c r="L28" s="93"/>
      <c r="M28" s="93"/>
      <c r="N28" s="93"/>
      <c r="O28" s="93"/>
      <c r="P28" s="93"/>
      <c r="Q28" s="80"/>
      <c r="S28" s="58" t="s">
        <v>104</v>
      </c>
      <c r="U28" s="58" t="s">
        <v>104</v>
      </c>
    </row>
    <row r="29" spans="1:26" s="1" customFormat="1" ht="17.45" customHeight="1">
      <c r="A29" s="86" t="s">
        <v>78</v>
      </c>
      <c r="B29" s="3"/>
      <c r="C29" s="3"/>
      <c r="D29" s="3"/>
      <c r="E29" s="3"/>
      <c r="F29" s="3"/>
      <c r="G29" s="3"/>
      <c r="H29" s="3"/>
      <c r="I29" s="3"/>
      <c r="J29" s="3"/>
      <c r="K29" s="3"/>
      <c r="L29" s="3"/>
      <c r="M29" s="3"/>
      <c r="N29" s="3"/>
      <c r="O29" s="3"/>
      <c r="P29" s="3"/>
      <c r="Q29" s="53" t="s">
        <v>1008</v>
      </c>
      <c r="R29" s="44"/>
      <c r="S29" s="304">
        <f>S38</f>
        <v>1973643388190</v>
      </c>
      <c r="T29" s="456"/>
      <c r="U29" s="304">
        <f>U38</f>
        <v>1666956054366</v>
      </c>
    </row>
    <row r="30" spans="1:26" s="1" customFormat="1" ht="17.45" customHeight="1">
      <c r="A30" s="3" t="s">
        <v>404</v>
      </c>
      <c r="B30" s="3"/>
      <c r="C30" s="3"/>
      <c r="D30" s="3"/>
      <c r="E30" s="3"/>
      <c r="F30" s="3"/>
      <c r="G30" s="3"/>
      <c r="H30" s="3"/>
      <c r="I30" s="3"/>
      <c r="J30" s="3"/>
      <c r="K30" s="3"/>
      <c r="L30" s="3"/>
      <c r="M30" s="3"/>
      <c r="N30" s="3"/>
      <c r="O30" s="3"/>
      <c r="P30" s="3"/>
      <c r="Q30" s="3"/>
      <c r="R30" s="44"/>
      <c r="S30" s="304">
        <v>-277067483597</v>
      </c>
      <c r="T30" s="456"/>
      <c r="U30" s="304">
        <v>-158678935395</v>
      </c>
    </row>
    <row r="31" spans="1:26" ht="17.45" customHeight="1" thickBot="1">
      <c r="A31" s="77"/>
      <c r="B31" s="77"/>
      <c r="C31" s="77"/>
      <c r="D31" s="77"/>
      <c r="E31" s="77"/>
      <c r="F31" s="77"/>
      <c r="G31" s="77"/>
      <c r="H31" s="77"/>
      <c r="I31" s="77"/>
      <c r="J31" s="77"/>
      <c r="K31" s="77"/>
      <c r="L31" s="77"/>
      <c r="M31" s="77"/>
      <c r="N31" s="77"/>
      <c r="O31" s="77"/>
      <c r="P31" s="77"/>
      <c r="Q31" s="77"/>
      <c r="R31" s="1"/>
      <c r="S31" s="309">
        <f>SUM(S29:S30)</f>
        <v>1696575904593</v>
      </c>
      <c r="T31" s="456"/>
      <c r="U31" s="309">
        <f>SUM(U29:U30)</f>
        <v>1508277118971</v>
      </c>
      <c r="V31" s="1"/>
    </row>
    <row r="32" spans="1:26" ht="17.25" customHeight="1" thickTop="1">
      <c r="A32" s="796" t="s">
        <v>1239</v>
      </c>
      <c r="B32" s="796"/>
      <c r="C32" s="796"/>
      <c r="D32" s="796"/>
      <c r="E32" s="796"/>
      <c r="F32" s="796"/>
      <c r="G32" s="796"/>
      <c r="H32" s="796"/>
      <c r="I32" s="796"/>
      <c r="J32" s="796"/>
      <c r="K32" s="796"/>
      <c r="L32" s="796"/>
      <c r="M32" s="796"/>
      <c r="N32" s="796"/>
      <c r="O32" s="796"/>
      <c r="P32" s="796"/>
      <c r="Q32" s="796"/>
      <c r="R32" s="796"/>
      <c r="S32" s="796"/>
      <c r="T32" s="796"/>
      <c r="U32" s="796"/>
      <c r="V32" s="26"/>
      <c r="W32" s="6"/>
      <c r="X32" s="6"/>
      <c r="Y32" s="6"/>
      <c r="Z32" s="6"/>
    </row>
    <row r="33" spans="1:22" ht="17.25" customHeight="1">
      <c r="A33" s="884"/>
      <c r="B33" s="93"/>
      <c r="C33" s="93"/>
      <c r="D33" s="93"/>
      <c r="E33" s="93"/>
      <c r="F33" s="93"/>
      <c r="G33" s="93"/>
      <c r="H33" s="93"/>
      <c r="I33" s="93"/>
      <c r="J33" s="93"/>
      <c r="K33" s="93"/>
      <c r="L33" s="93"/>
      <c r="M33" s="93"/>
      <c r="N33" s="93"/>
      <c r="O33" s="93"/>
      <c r="P33" s="93"/>
      <c r="Q33" s="93"/>
      <c r="R33" s="31"/>
      <c r="S33" s="119">
        <f>مفروضات!$C$3</f>
        <v>1402</v>
      </c>
      <c r="T33" s="31"/>
      <c r="U33" s="32">
        <f>مفروضات!$C$4</f>
        <v>1401</v>
      </c>
      <c r="V33" s="34"/>
    </row>
    <row r="34" spans="1:22" s="1" customFormat="1" ht="17.25" customHeight="1">
      <c r="A34" s="884"/>
      <c r="B34" s="93"/>
      <c r="C34" s="93"/>
      <c r="D34" s="93"/>
      <c r="E34" s="93"/>
      <c r="F34" s="93"/>
      <c r="G34" s="93"/>
      <c r="H34" s="93"/>
      <c r="I34" s="93"/>
      <c r="J34" s="93"/>
      <c r="K34" s="93"/>
      <c r="L34" s="93"/>
      <c r="M34" s="93"/>
      <c r="N34" s="93"/>
      <c r="O34" s="93"/>
      <c r="P34" s="93"/>
      <c r="Q34" s="93"/>
      <c r="S34" s="58" t="s">
        <v>104</v>
      </c>
      <c r="U34" s="58" t="s">
        <v>104</v>
      </c>
    </row>
    <row r="35" spans="1:22" s="1" customFormat="1" ht="17.45" customHeight="1">
      <c r="A35" s="3" t="s">
        <v>10</v>
      </c>
      <c r="B35" s="3"/>
      <c r="C35" s="3"/>
      <c r="D35" s="3"/>
      <c r="E35" s="3"/>
      <c r="F35" s="3"/>
      <c r="G35" s="3"/>
      <c r="H35" s="3"/>
      <c r="I35" s="3"/>
      <c r="J35" s="3"/>
      <c r="K35" s="3"/>
      <c r="L35" s="3"/>
      <c r="M35" s="3"/>
      <c r="N35" s="3"/>
      <c r="O35" s="3"/>
      <c r="P35" s="3"/>
      <c r="Q35" s="3"/>
      <c r="R35" s="44"/>
      <c r="S35" s="304">
        <v>1666956054366</v>
      </c>
      <c r="T35" s="456"/>
      <c r="U35" s="304">
        <v>1348425182856</v>
      </c>
    </row>
    <row r="36" spans="1:22" s="1" customFormat="1" ht="17.45" customHeight="1">
      <c r="A36" s="3" t="s">
        <v>810</v>
      </c>
      <c r="B36" s="3"/>
      <c r="C36" s="3"/>
      <c r="D36" s="3"/>
      <c r="E36" s="3"/>
      <c r="F36" s="3"/>
      <c r="G36" s="3"/>
      <c r="H36" s="3"/>
      <c r="I36" s="3"/>
      <c r="J36" s="3"/>
      <c r="K36" s="3"/>
      <c r="L36" s="3"/>
      <c r="M36" s="3"/>
      <c r="N36" s="3"/>
      <c r="O36" s="3"/>
      <c r="P36" s="3"/>
      <c r="Q36" s="3"/>
      <c r="R36" s="44"/>
      <c r="S36" s="304">
        <v>-147885538563</v>
      </c>
      <c r="T36" s="456"/>
      <c r="U36" s="304">
        <v>-117704464049</v>
      </c>
    </row>
    <row r="37" spans="1:22" s="1" customFormat="1" ht="17.45" customHeight="1">
      <c r="A37" s="3" t="s">
        <v>493</v>
      </c>
      <c r="B37" s="3"/>
      <c r="C37" s="3"/>
      <c r="D37" s="3"/>
      <c r="E37" s="3"/>
      <c r="F37" s="3"/>
      <c r="G37" s="3"/>
      <c r="H37" s="3"/>
      <c r="I37" s="3"/>
      <c r="J37" s="3"/>
      <c r="K37" s="3"/>
      <c r="L37" s="3"/>
      <c r="M37" s="3"/>
      <c r="N37" s="3"/>
      <c r="O37" s="3"/>
      <c r="P37" s="3"/>
      <c r="Q37" s="3"/>
      <c r="R37" s="44"/>
      <c r="S37" s="304">
        <v>454572872387</v>
      </c>
      <c r="T37" s="456"/>
      <c r="U37" s="320">
        <v>436235335559</v>
      </c>
    </row>
    <row r="38" spans="1:22" ht="17.45" customHeight="1" thickBot="1">
      <c r="A38" s="3" t="s">
        <v>15</v>
      </c>
      <c r="B38" s="77"/>
      <c r="C38" s="77"/>
      <c r="D38" s="77"/>
      <c r="E38" s="77"/>
      <c r="F38" s="77"/>
      <c r="G38" s="77"/>
      <c r="H38" s="77"/>
      <c r="I38" s="77"/>
      <c r="J38" s="77"/>
      <c r="K38" s="77"/>
      <c r="L38" s="77"/>
      <c r="M38" s="77"/>
      <c r="N38" s="77"/>
      <c r="O38" s="77"/>
      <c r="P38" s="77"/>
      <c r="Q38" s="77"/>
      <c r="R38" s="1"/>
      <c r="S38" s="309">
        <f>SUM(S35:S37)</f>
        <v>1973643388190</v>
      </c>
      <c r="T38" s="456"/>
      <c r="U38" s="309">
        <f>S35</f>
        <v>1666956054366</v>
      </c>
      <c r="V38" s="1"/>
    </row>
    <row r="39" spans="1:22" ht="33" customHeight="1" thickTop="1">
      <c r="A39" s="816" t="s">
        <v>1240</v>
      </c>
      <c r="B39" s="816"/>
      <c r="C39" s="816"/>
      <c r="D39" s="816"/>
      <c r="E39" s="816"/>
      <c r="F39" s="816"/>
      <c r="G39" s="816"/>
      <c r="H39" s="816"/>
      <c r="I39" s="816"/>
      <c r="J39" s="816"/>
      <c r="K39" s="816"/>
      <c r="L39" s="816"/>
      <c r="M39" s="816"/>
      <c r="N39" s="816"/>
      <c r="O39" s="816"/>
      <c r="P39" s="816"/>
      <c r="Q39" s="816"/>
      <c r="R39" s="816"/>
      <c r="S39" s="816"/>
      <c r="T39" s="816"/>
      <c r="U39" s="816"/>
      <c r="V39" s="1"/>
    </row>
    <row r="40" spans="1:22" ht="17.25" customHeight="1">
      <c r="A40" s="77"/>
      <c r="B40" s="77"/>
      <c r="C40" s="77"/>
      <c r="D40" s="77"/>
      <c r="E40" s="77"/>
      <c r="F40" s="77"/>
      <c r="G40" s="77"/>
      <c r="H40" s="77"/>
      <c r="I40" s="77"/>
      <c r="J40" s="77"/>
      <c r="K40" s="77"/>
      <c r="L40" s="77"/>
      <c r="M40" s="77"/>
      <c r="N40" s="77"/>
      <c r="O40" s="77"/>
      <c r="P40" s="77"/>
      <c r="Q40" s="77"/>
      <c r="R40" s="77"/>
      <c r="S40" s="119">
        <f>مفروضات!$C$3</f>
        <v>1402</v>
      </c>
      <c r="T40" s="31"/>
      <c r="U40" s="32">
        <f>مفروضات!$C$4</f>
        <v>1401</v>
      </c>
      <c r="V40" s="1"/>
    </row>
    <row r="41" spans="1:22" ht="17.25" customHeight="1">
      <c r="A41" s="77"/>
      <c r="B41" s="77"/>
      <c r="C41" s="77"/>
      <c r="D41" s="77"/>
      <c r="E41" s="77"/>
      <c r="F41" s="77"/>
      <c r="G41" s="77"/>
      <c r="H41" s="77"/>
      <c r="I41" s="77"/>
      <c r="J41" s="77"/>
      <c r="K41" s="77"/>
      <c r="L41" s="77"/>
      <c r="M41" s="77"/>
      <c r="N41" s="77"/>
      <c r="O41" s="77"/>
      <c r="P41" s="77"/>
      <c r="Q41" s="77"/>
      <c r="R41" s="77"/>
      <c r="S41" s="58" t="s">
        <v>104</v>
      </c>
      <c r="T41" s="1"/>
      <c r="U41" s="58" t="s">
        <v>104</v>
      </c>
      <c r="V41" s="1"/>
    </row>
    <row r="42" spans="1:22" ht="17.25" customHeight="1">
      <c r="A42" s="77" t="s">
        <v>308</v>
      </c>
      <c r="B42" s="77"/>
      <c r="C42" s="77"/>
      <c r="D42" s="77"/>
      <c r="E42" s="77"/>
      <c r="F42" s="77"/>
      <c r="G42" s="77"/>
      <c r="H42" s="77"/>
      <c r="I42" s="77"/>
      <c r="J42" s="77"/>
      <c r="K42" s="77"/>
      <c r="L42" s="77"/>
      <c r="M42" s="77"/>
      <c r="N42" s="77"/>
      <c r="O42" s="77"/>
      <c r="P42" s="77"/>
      <c r="Q42" s="77"/>
      <c r="R42" s="452"/>
      <c r="S42" s="304">
        <v>180031200000</v>
      </c>
      <c r="T42" s="304"/>
      <c r="U42" s="304">
        <v>150026044893</v>
      </c>
      <c r="V42" s="1"/>
    </row>
    <row r="43" spans="1:22" ht="17.25" customHeight="1">
      <c r="A43" s="77" t="s">
        <v>311</v>
      </c>
      <c r="B43" s="77"/>
      <c r="C43" s="77"/>
      <c r="D43" s="77"/>
      <c r="E43" s="77"/>
      <c r="F43" s="77"/>
      <c r="G43" s="77"/>
      <c r="H43" s="77"/>
      <c r="I43" s="77"/>
      <c r="J43" s="77"/>
      <c r="K43" s="77"/>
      <c r="L43" s="77"/>
      <c r="M43" s="77"/>
      <c r="N43" s="77"/>
      <c r="O43" s="77"/>
      <c r="P43" s="77"/>
      <c r="Q43" s="77"/>
      <c r="R43" s="452"/>
      <c r="S43" s="304">
        <v>1557070825353</v>
      </c>
      <c r="T43" s="304"/>
      <c r="U43" s="304">
        <v>1333564843493</v>
      </c>
      <c r="V43" s="1"/>
    </row>
    <row r="44" spans="1:22" ht="17.25" customHeight="1">
      <c r="A44" s="77" t="s">
        <v>312</v>
      </c>
      <c r="B44" s="77"/>
      <c r="C44" s="77"/>
      <c r="D44" s="77"/>
      <c r="E44" s="77"/>
      <c r="F44" s="77"/>
      <c r="G44" s="77"/>
      <c r="H44" s="77"/>
      <c r="I44" s="77"/>
      <c r="J44" s="77"/>
      <c r="K44" s="77"/>
      <c r="L44" s="77"/>
      <c r="M44" s="77"/>
      <c r="N44" s="77"/>
      <c r="O44" s="77"/>
      <c r="P44" s="77"/>
      <c r="Q44" s="77"/>
      <c r="R44" s="452"/>
      <c r="S44" s="304">
        <v>25004340815</v>
      </c>
      <c r="T44" s="304"/>
      <c r="U44" s="304">
        <v>16669560543</v>
      </c>
      <c r="V44" s="1"/>
    </row>
    <row r="45" spans="1:22" ht="17.25" customHeight="1">
      <c r="A45" s="77" t="s">
        <v>313</v>
      </c>
      <c r="B45" s="77"/>
      <c r="C45" s="77"/>
      <c r="D45" s="77"/>
      <c r="E45" s="77"/>
      <c r="F45" s="77"/>
      <c r="G45" s="77"/>
      <c r="H45" s="77"/>
      <c r="I45" s="77"/>
      <c r="J45" s="77"/>
      <c r="K45" s="77"/>
      <c r="L45" s="77"/>
      <c r="M45" s="77"/>
      <c r="N45" s="77"/>
      <c r="O45" s="77"/>
      <c r="P45" s="77"/>
      <c r="Q45" s="77"/>
      <c r="R45" s="452"/>
      <c r="S45" s="304">
        <v>100017363262</v>
      </c>
      <c r="T45" s="304"/>
      <c r="U45" s="304">
        <v>83347802718</v>
      </c>
      <c r="V45" s="1"/>
    </row>
    <row r="46" spans="1:22" ht="17.25" customHeight="1">
      <c r="A46" s="77" t="s">
        <v>51</v>
      </c>
      <c r="B46" s="77"/>
      <c r="C46" s="77"/>
      <c r="D46" s="77"/>
      <c r="E46" s="77"/>
      <c r="F46" s="77"/>
      <c r="G46" s="77"/>
      <c r="H46" s="77"/>
      <c r="I46" s="77"/>
      <c r="J46" s="77"/>
      <c r="K46" s="77"/>
      <c r="L46" s="77"/>
      <c r="M46" s="77"/>
      <c r="N46" s="77"/>
      <c r="O46" s="77"/>
      <c r="P46" s="77"/>
      <c r="Q46" s="77"/>
      <c r="R46" s="452"/>
      <c r="S46" s="304">
        <v>111519658760</v>
      </c>
      <c r="T46" s="304"/>
      <c r="U46" s="304">
        <v>83347802718</v>
      </c>
      <c r="V46" s="1"/>
    </row>
    <row r="47" spans="1:22" ht="17.25" customHeight="1" thickBot="1">
      <c r="A47" s="77"/>
      <c r="B47" s="77"/>
      <c r="C47" s="77"/>
      <c r="D47" s="77"/>
      <c r="E47" s="77"/>
      <c r="F47" s="77"/>
      <c r="G47" s="77"/>
      <c r="H47" s="77"/>
      <c r="I47" s="77"/>
      <c r="J47" s="77"/>
      <c r="K47" s="77"/>
      <c r="L47" s="77"/>
      <c r="M47" s="77"/>
      <c r="N47" s="77"/>
      <c r="O47" s="77"/>
      <c r="P47" s="77"/>
      <c r="Q47" s="77"/>
      <c r="R47" s="77"/>
      <c r="S47" s="309">
        <f>SUM(S42:S46)</f>
        <v>1973643388190</v>
      </c>
      <c r="T47" s="1"/>
      <c r="U47" s="309">
        <f>SUM(U42:U46)</f>
        <v>1666956054365</v>
      </c>
      <c r="V47" s="1"/>
    </row>
    <row r="48" spans="1:22" ht="21.75" thickTop="1">
      <c r="A48" s="35"/>
      <c r="B48" s="35"/>
      <c r="C48" s="35"/>
      <c r="D48" s="35"/>
      <c r="E48" s="35"/>
      <c r="F48" s="35"/>
      <c r="G48" s="35"/>
      <c r="H48" s="35"/>
      <c r="I48" s="35"/>
      <c r="J48" s="35"/>
      <c r="K48" s="35"/>
      <c r="L48" s="35"/>
      <c r="M48" s="35"/>
      <c r="N48" s="35"/>
      <c r="O48" s="35"/>
      <c r="P48" s="35"/>
      <c r="Q48" s="35"/>
      <c r="R48" s="1"/>
      <c r="S48" s="31"/>
      <c r="T48" s="1"/>
      <c r="U48" s="2"/>
      <c r="V48" s="1"/>
    </row>
    <row r="49" spans="1:22" ht="21.75">
      <c r="A49" s="883" t="s">
        <v>1241</v>
      </c>
      <c r="B49" s="883"/>
      <c r="C49" s="883"/>
      <c r="D49" s="883"/>
      <c r="E49" s="883"/>
      <c r="F49" s="883"/>
      <c r="G49" s="883"/>
      <c r="H49" s="883"/>
      <c r="I49" s="883"/>
      <c r="J49" s="883"/>
      <c r="K49" s="883"/>
      <c r="L49" s="883"/>
      <c r="M49" s="883"/>
      <c r="N49" s="883"/>
      <c r="O49" s="883"/>
      <c r="P49" s="883"/>
      <c r="Q49" s="883"/>
      <c r="R49" s="883"/>
      <c r="S49" s="883"/>
      <c r="T49" s="883"/>
      <c r="U49" s="883"/>
      <c r="V49" s="1"/>
    </row>
    <row r="50" spans="1:22" ht="21">
      <c r="A50" s="59"/>
      <c r="B50" s="35"/>
      <c r="C50" s="35"/>
      <c r="D50" s="35"/>
      <c r="E50" s="35"/>
      <c r="F50" s="35"/>
      <c r="G50" s="35"/>
      <c r="H50" s="35"/>
      <c r="I50" s="35"/>
      <c r="J50" s="35"/>
      <c r="K50" s="35"/>
      <c r="L50" s="35"/>
      <c r="M50" s="35"/>
      <c r="N50" s="35"/>
      <c r="O50" s="35"/>
      <c r="P50" s="35"/>
      <c r="Q50" s="35"/>
      <c r="R50" s="1"/>
      <c r="S50" s="119">
        <f>مفروضات!$C$3</f>
        <v>1402</v>
      </c>
      <c r="T50" s="1"/>
      <c r="U50" s="32">
        <f>مفروضات!$C$4</f>
        <v>1401</v>
      </c>
      <c r="V50" s="1"/>
    </row>
    <row r="51" spans="1:22" ht="21">
      <c r="A51" s="3"/>
      <c r="B51" s="35"/>
      <c r="C51" s="35"/>
      <c r="D51" s="35"/>
      <c r="E51" s="35"/>
      <c r="F51" s="35"/>
      <c r="G51" s="35"/>
      <c r="H51" s="35"/>
      <c r="I51" s="35"/>
      <c r="J51" s="35"/>
      <c r="K51" s="35"/>
      <c r="L51" s="35"/>
      <c r="M51" s="35"/>
      <c r="N51" s="35"/>
      <c r="O51" s="35"/>
      <c r="P51" s="35"/>
      <c r="Q51" s="35"/>
      <c r="R51" s="1"/>
      <c r="S51" s="58" t="s">
        <v>103</v>
      </c>
      <c r="T51" s="1"/>
      <c r="U51" s="58" t="s">
        <v>103</v>
      </c>
      <c r="V51" s="1"/>
    </row>
    <row r="52" spans="1:22" ht="21">
      <c r="A52" s="3" t="s">
        <v>10</v>
      </c>
      <c r="B52" s="35"/>
      <c r="C52" s="35"/>
      <c r="D52" s="35"/>
      <c r="E52" s="35"/>
      <c r="F52" s="35"/>
      <c r="G52" s="35"/>
      <c r="H52" s="35"/>
      <c r="I52" s="35"/>
      <c r="J52" s="35"/>
      <c r="K52" s="35"/>
      <c r="L52" s="35"/>
      <c r="M52" s="35"/>
      <c r="N52" s="35"/>
      <c r="O52" s="35"/>
      <c r="P52" s="35"/>
      <c r="Q52" s="35"/>
      <c r="R52" s="1"/>
      <c r="S52" s="457">
        <f>U54</f>
        <v>1618432281244</v>
      </c>
      <c r="T52" s="1"/>
      <c r="U52" s="457">
        <v>1731187487517</v>
      </c>
      <c r="V52" s="1"/>
    </row>
    <row r="53" spans="1:22" ht="21">
      <c r="A53" s="3" t="s">
        <v>633</v>
      </c>
      <c r="B53" s="35"/>
      <c r="C53" s="35"/>
      <c r="D53" s="35"/>
      <c r="E53" s="35"/>
      <c r="F53" s="35"/>
      <c r="G53" s="35"/>
      <c r="H53" s="35"/>
      <c r="I53" s="35"/>
      <c r="J53" s="35"/>
      <c r="K53" s="35"/>
      <c r="L53" s="35"/>
      <c r="M53" s="35"/>
      <c r="N53" s="35"/>
      <c r="O53" s="35"/>
      <c r="P53" s="35"/>
      <c r="Q53" s="35"/>
      <c r="R53" s="1"/>
      <c r="S53" s="304">
        <v>-100953221045</v>
      </c>
      <c r="T53" s="1"/>
      <c r="U53" s="304">
        <v>-112755206273</v>
      </c>
      <c r="V53" s="1"/>
    </row>
    <row r="54" spans="1:22" ht="21.75" thickBot="1">
      <c r="A54" s="77" t="s">
        <v>15</v>
      </c>
      <c r="B54" s="35"/>
      <c r="C54" s="35"/>
      <c r="D54" s="35"/>
      <c r="E54" s="35"/>
      <c r="F54" s="35"/>
      <c r="G54" s="35"/>
      <c r="H54" s="35"/>
      <c r="I54" s="35"/>
      <c r="J54" s="35"/>
      <c r="K54" s="35"/>
      <c r="L54" s="35"/>
      <c r="M54" s="35"/>
      <c r="N54" s="35"/>
      <c r="O54" s="35"/>
      <c r="P54" s="35"/>
      <c r="Q54" s="35"/>
      <c r="R54" s="1"/>
      <c r="S54" s="309">
        <f>SUM(S52:S53)</f>
        <v>1517479060199</v>
      </c>
      <c r="T54" s="1"/>
      <c r="U54" s="309">
        <f>SUM(U52:U53)</f>
        <v>1618432281244</v>
      </c>
      <c r="V54" s="1"/>
    </row>
    <row r="55" spans="1:22" ht="20.25" thickTop="1"/>
  </sheetData>
  <mergeCells count="11">
    <mergeCell ref="A49:U49"/>
    <mergeCell ref="A39:U39"/>
    <mergeCell ref="A32:U32"/>
    <mergeCell ref="A33:A34"/>
    <mergeCell ref="A1:U1"/>
    <mergeCell ref="A2:V2"/>
    <mergeCell ref="A3:V3"/>
    <mergeCell ref="A4:U4"/>
    <mergeCell ref="A15:U15"/>
    <mergeCell ref="A26:U26"/>
    <mergeCell ref="A14:U14"/>
  </mergeCells>
  <printOptions horizontalCentered="1"/>
  <pageMargins left="0.55118110236220474" right="0.70866141732283472" top="0.47244094488188981" bottom="0.74803149606299213" header="0.31496062992125984" footer="0.31496062992125984"/>
  <pageSetup paperSize="9" scale="65" firstPageNumber="31" orientation="portrait" useFirstPageNumber="1" r:id="rId1"/>
  <headerFooter>
    <oddFooter>&amp;C&amp;"B Nazanin,Regular"&amp;P</oddFooter>
  </headerFooter>
  <rowBreaks count="1" manualBreakCount="1">
    <brk id="25" max="2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2"/>
  <sheetViews>
    <sheetView rightToLeft="1" view="pageBreakPreview" topLeftCell="A106" zoomScaleNormal="120" zoomScaleSheetLayoutView="100" workbookViewId="0">
      <selection activeCell="B7" sqref="B7"/>
    </sheetView>
  </sheetViews>
  <sheetFormatPr defaultColWidth="9" defaultRowHeight="19.5"/>
  <cols>
    <col min="1" max="1" width="2.7109375" style="5" customWidth="1"/>
    <col min="2" max="2" width="47.42578125" style="19" customWidth="1"/>
    <col min="3" max="3" width="0.42578125" style="19" customWidth="1"/>
    <col min="4" max="4" width="10.5703125" style="19" hidden="1" customWidth="1"/>
    <col min="5" max="5" width="0.42578125" style="19" hidden="1" customWidth="1"/>
    <col min="6" max="6" width="11.140625" style="19" hidden="1" customWidth="1"/>
    <col min="7" max="7" width="0.5703125" style="19" hidden="1" customWidth="1"/>
    <col min="8" max="8" width="10.7109375" style="19" hidden="1" customWidth="1"/>
    <col min="9" max="9" width="0.5703125" style="19" customWidth="1"/>
    <col min="10" max="10" width="10.7109375" style="19" customWidth="1"/>
    <col min="11" max="11" width="0.7109375" style="19" customWidth="1"/>
    <col min="12" max="12" width="17.28515625" style="5" customWidth="1"/>
    <col min="13" max="13" width="0.42578125" style="5" customWidth="1"/>
    <col min="14" max="14" width="17.5703125" style="301" customWidth="1"/>
    <col min="15" max="15" width="0.5703125" style="668" customWidth="1"/>
    <col min="16" max="16" width="16.42578125" style="302" bestFit="1" customWidth="1"/>
    <col min="17" max="17" width="1" style="5" customWidth="1"/>
    <col min="18" max="18" width="3.140625" style="5" customWidth="1"/>
    <col min="19" max="19" width="28.140625" style="5" customWidth="1"/>
    <col min="20" max="20" width="17.140625" style="5" customWidth="1"/>
    <col min="21" max="16384" width="9" style="5"/>
  </cols>
  <sheetData>
    <row r="1" spans="1:22" ht="20.25">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4"/>
      <c r="S1" s="4"/>
      <c r="T1" s="4"/>
      <c r="U1" s="4"/>
    </row>
    <row r="2" spans="1:22" s="26" customFormat="1" ht="21">
      <c r="A2" s="767" t="s">
        <v>33</v>
      </c>
      <c r="B2" s="767"/>
      <c r="C2" s="767"/>
      <c r="D2" s="767"/>
      <c r="E2" s="767"/>
      <c r="F2" s="767"/>
      <c r="G2" s="767"/>
      <c r="H2" s="767"/>
      <c r="I2" s="767"/>
      <c r="J2" s="767"/>
      <c r="K2" s="767"/>
      <c r="L2" s="767"/>
      <c r="M2" s="767"/>
      <c r="N2" s="767"/>
      <c r="O2" s="767"/>
      <c r="P2" s="767"/>
      <c r="Q2" s="767"/>
      <c r="R2" s="27"/>
    </row>
    <row r="3" spans="1:22" s="1" customFormat="1" ht="21.75">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27"/>
      <c r="S3" s="26"/>
      <c r="T3" s="26"/>
      <c r="U3" s="26"/>
      <c r="V3" s="26"/>
    </row>
    <row r="4" spans="1:22" ht="16.5" customHeight="1">
      <c r="B4" s="879" t="s">
        <v>1242</v>
      </c>
      <c r="C4" s="879"/>
      <c r="D4" s="879"/>
      <c r="E4" s="879"/>
      <c r="F4" s="879"/>
      <c r="G4" s="879"/>
      <c r="H4" s="879"/>
      <c r="I4" s="879"/>
      <c r="J4" s="879"/>
      <c r="K4" s="879"/>
      <c r="L4" s="879"/>
      <c r="M4" s="879"/>
      <c r="N4" s="879"/>
      <c r="O4" s="879"/>
      <c r="P4" s="879"/>
      <c r="Q4" s="9"/>
    </row>
    <row r="5" spans="1:22" ht="16.5" customHeight="1">
      <c r="B5" s="72"/>
      <c r="C5" s="72"/>
      <c r="D5" s="201"/>
      <c r="E5" s="72"/>
      <c r="F5" s="72"/>
      <c r="G5" s="72"/>
      <c r="H5" s="72"/>
      <c r="I5" s="72"/>
      <c r="J5" s="72"/>
      <c r="K5" s="72"/>
      <c r="L5" s="119" t="s">
        <v>116</v>
      </c>
      <c r="M5" s="82"/>
      <c r="N5" s="32">
        <v>1402</v>
      </c>
      <c r="O5" s="665"/>
      <c r="P5" s="32">
        <v>1401</v>
      </c>
      <c r="Q5" s="9"/>
    </row>
    <row r="6" spans="1:22" ht="16.5" customHeight="1">
      <c r="B6" s="72"/>
      <c r="C6" s="72"/>
      <c r="D6" s="82"/>
      <c r="E6" s="72"/>
      <c r="F6" s="72"/>
      <c r="G6" s="72"/>
      <c r="H6" s="72"/>
      <c r="I6" s="72"/>
      <c r="J6" s="72"/>
      <c r="K6" s="72"/>
      <c r="L6" s="82"/>
      <c r="M6" s="82"/>
      <c r="N6" s="297" t="s">
        <v>103</v>
      </c>
      <c r="O6" s="666"/>
      <c r="P6" s="297" t="s">
        <v>103</v>
      </c>
      <c r="Q6" s="9"/>
    </row>
    <row r="7" spans="1:22" ht="20.25" customHeight="1">
      <c r="B7" s="3" t="s">
        <v>536</v>
      </c>
      <c r="C7" s="3"/>
      <c r="D7" s="91"/>
      <c r="E7" s="3"/>
      <c r="F7" s="3"/>
      <c r="G7" s="3"/>
      <c r="H7" s="3"/>
      <c r="I7" s="3"/>
      <c r="J7" s="3"/>
      <c r="K7" s="3"/>
      <c r="L7" s="91" t="s">
        <v>1243</v>
      </c>
      <c r="M7" s="72"/>
      <c r="N7" s="297">
        <f>N19</f>
        <v>10626557566585</v>
      </c>
      <c r="O7" s="666"/>
      <c r="P7" s="297">
        <f>P19</f>
        <v>6908446115134</v>
      </c>
      <c r="Q7" s="9"/>
    </row>
    <row r="8" spans="1:22" ht="20.25" customHeight="1">
      <c r="B8" s="3" t="s">
        <v>537</v>
      </c>
      <c r="C8" s="3"/>
      <c r="D8" s="91"/>
      <c r="E8" s="3"/>
      <c r="F8" s="3"/>
      <c r="G8" s="3"/>
      <c r="H8" s="3"/>
      <c r="I8" s="3"/>
      <c r="J8" s="3"/>
      <c r="K8" s="3"/>
      <c r="L8" s="91" t="s">
        <v>1244</v>
      </c>
      <c r="M8" s="72"/>
      <c r="N8" s="297">
        <f>N26</f>
        <v>1883784000000</v>
      </c>
      <c r="O8" s="666"/>
      <c r="P8" s="297">
        <f>P26</f>
        <v>1126014000000</v>
      </c>
      <c r="Q8" s="9"/>
    </row>
    <row r="9" spans="1:22" ht="20.25" customHeight="1">
      <c r="B9" s="3" t="s">
        <v>590</v>
      </c>
      <c r="C9" s="3"/>
      <c r="D9" s="91"/>
      <c r="E9" s="3"/>
      <c r="F9" s="3"/>
      <c r="G9" s="3"/>
      <c r="H9" s="3"/>
      <c r="I9" s="3"/>
      <c r="J9" s="3"/>
      <c r="K9" s="3"/>
      <c r="L9" s="91" t="s">
        <v>1245</v>
      </c>
      <c r="M9" s="72"/>
      <c r="N9" s="297">
        <f>N60</f>
        <v>842204729952</v>
      </c>
      <c r="O9" s="666"/>
      <c r="P9" s="297">
        <f>P60</f>
        <v>1376173866376</v>
      </c>
      <c r="Q9" s="9"/>
    </row>
    <row r="10" spans="1:22" ht="19.5" customHeight="1" thickBot="1">
      <c r="B10" s="72"/>
      <c r="C10" s="72"/>
      <c r="D10" s="72"/>
      <c r="E10" s="72"/>
      <c r="F10" s="72"/>
      <c r="G10" s="72"/>
      <c r="H10" s="72"/>
      <c r="I10" s="72"/>
      <c r="J10" s="72"/>
      <c r="K10" s="72"/>
      <c r="L10" s="72"/>
      <c r="M10" s="72"/>
      <c r="N10" s="300">
        <f>SUM(M7:N9)</f>
        <v>13352546296537</v>
      </c>
      <c r="O10" s="666"/>
      <c r="P10" s="300">
        <f>SUM(P7:P9)</f>
        <v>9410633981510</v>
      </c>
      <c r="Q10" s="9"/>
    </row>
    <row r="11" spans="1:22" ht="6" customHeight="1" thickTop="1">
      <c r="B11" s="72"/>
      <c r="C11" s="72"/>
      <c r="D11" s="72"/>
      <c r="E11" s="72"/>
      <c r="F11" s="72"/>
      <c r="G11" s="72"/>
      <c r="H11" s="72"/>
      <c r="I11" s="72"/>
      <c r="J11" s="72"/>
      <c r="K11" s="72"/>
      <c r="L11" s="72"/>
      <c r="M11" s="72"/>
      <c r="N11" s="298"/>
      <c r="O11" s="667"/>
      <c r="P11" s="298"/>
      <c r="Q11" s="9"/>
    </row>
    <row r="12" spans="1:22" ht="18.75" customHeight="1">
      <c r="A12" s="6"/>
      <c r="B12" s="879" t="s">
        <v>1246</v>
      </c>
      <c r="C12" s="879"/>
      <c r="D12" s="879"/>
      <c r="E12" s="879"/>
      <c r="F12" s="879"/>
      <c r="G12" s="879"/>
      <c r="H12" s="879"/>
      <c r="I12" s="879"/>
      <c r="J12" s="879"/>
      <c r="K12" s="879"/>
      <c r="L12" s="879"/>
      <c r="M12" s="879"/>
      <c r="N12" s="879"/>
      <c r="O12" s="879"/>
      <c r="P12" s="879"/>
      <c r="Q12" s="6"/>
      <c r="R12" s="6"/>
      <c r="S12" s="6"/>
      <c r="T12" s="6"/>
      <c r="U12" s="6"/>
    </row>
    <row r="13" spans="1:22" ht="18.75" customHeight="1">
      <c r="B13" s="16"/>
      <c r="C13" s="16"/>
      <c r="D13" s="16"/>
      <c r="E13" s="16"/>
      <c r="F13" s="16"/>
      <c r="G13" s="16"/>
      <c r="H13" s="16"/>
      <c r="I13" s="16"/>
      <c r="J13" s="16"/>
      <c r="K13" s="16"/>
      <c r="L13" s="14"/>
      <c r="M13" s="14"/>
      <c r="N13" s="32" t="s">
        <v>667</v>
      </c>
      <c r="O13" s="666">
        <f>مفروضات!$C$4</f>
        <v>1401</v>
      </c>
      <c r="P13" s="32">
        <f>مفروضات!$C$4</f>
        <v>1401</v>
      </c>
      <c r="Q13" s="18"/>
    </row>
    <row r="14" spans="1:22" s="1" customFormat="1" ht="18.75" customHeight="1">
      <c r="B14" s="3"/>
      <c r="C14" s="3"/>
      <c r="D14" s="3"/>
      <c r="E14" s="3"/>
      <c r="F14" s="3"/>
      <c r="G14" s="3"/>
      <c r="H14" s="3"/>
      <c r="I14" s="3"/>
      <c r="J14" s="3"/>
      <c r="K14" s="3"/>
      <c r="N14" s="297" t="s">
        <v>103</v>
      </c>
      <c r="O14" s="666"/>
      <c r="P14" s="297" t="s">
        <v>103</v>
      </c>
    </row>
    <row r="15" spans="1:22" s="1" customFormat="1" ht="18.75" customHeight="1">
      <c r="B15" s="875" t="s">
        <v>538</v>
      </c>
      <c r="C15" s="875"/>
      <c r="D15" s="875"/>
      <c r="E15" s="875"/>
      <c r="F15" s="875"/>
      <c r="G15" s="875"/>
      <c r="H15" s="875"/>
      <c r="I15" s="875"/>
      <c r="J15" s="875"/>
      <c r="K15" s="875"/>
      <c r="L15" s="875"/>
      <c r="M15" s="3"/>
      <c r="N15" s="297">
        <v>2310171820666</v>
      </c>
      <c r="O15" s="666"/>
      <c r="P15" s="297">
        <v>417681176479</v>
      </c>
    </row>
    <row r="16" spans="1:22" s="1" customFormat="1" ht="18.75" customHeight="1">
      <c r="B16" s="875" t="s">
        <v>539</v>
      </c>
      <c r="C16" s="875"/>
      <c r="D16" s="875"/>
      <c r="E16" s="875"/>
      <c r="F16" s="875"/>
      <c r="G16" s="875"/>
      <c r="H16" s="875"/>
      <c r="I16" s="875"/>
      <c r="J16" s="875"/>
      <c r="K16" s="875"/>
      <c r="L16" s="875"/>
      <c r="M16" s="3"/>
      <c r="N16" s="297">
        <v>40720385509</v>
      </c>
      <c r="O16" s="666"/>
      <c r="P16" s="297">
        <v>1000000000</v>
      </c>
    </row>
    <row r="17" spans="1:21" s="1" customFormat="1" ht="21">
      <c r="B17" s="875" t="s">
        <v>540</v>
      </c>
      <c r="C17" s="875"/>
      <c r="D17" s="875"/>
      <c r="E17" s="875"/>
      <c r="F17" s="875"/>
      <c r="G17" s="875"/>
      <c r="H17" s="875"/>
      <c r="I17" s="875"/>
      <c r="J17" s="875"/>
      <c r="K17" s="875"/>
      <c r="L17" s="875"/>
      <c r="M17" s="3"/>
      <c r="N17" s="297">
        <v>8275665360410</v>
      </c>
      <c r="O17" s="666"/>
      <c r="P17" s="297">
        <v>6489764938655</v>
      </c>
    </row>
    <row r="18" spans="1:21" s="1" customFormat="1" ht="21" hidden="1">
      <c r="B18" s="875" t="s">
        <v>541</v>
      </c>
      <c r="C18" s="875"/>
      <c r="D18" s="875"/>
      <c r="E18" s="875"/>
      <c r="F18" s="875"/>
      <c r="G18" s="875"/>
      <c r="H18" s="875"/>
      <c r="I18" s="875"/>
      <c r="J18" s="875"/>
      <c r="K18" s="875"/>
      <c r="L18" s="875"/>
      <c r="M18" s="3"/>
      <c r="N18" s="139">
        <v>0</v>
      </c>
      <c r="O18" s="666"/>
      <c r="P18" s="139">
        <v>0</v>
      </c>
    </row>
    <row r="19" spans="1:21" ht="21.75" thickBot="1">
      <c r="B19" s="77"/>
      <c r="C19" s="77"/>
      <c r="D19" s="77"/>
      <c r="E19" s="77"/>
      <c r="F19" s="77"/>
      <c r="G19" s="77"/>
      <c r="H19" s="77"/>
      <c r="I19" s="77"/>
      <c r="J19" s="77"/>
      <c r="K19" s="77"/>
      <c r="N19" s="300">
        <f>SUM(N15:N18)</f>
        <v>10626557566585</v>
      </c>
      <c r="O19" s="666"/>
      <c r="P19" s="300">
        <f>SUM(P15:P18)</f>
        <v>6908446115134</v>
      </c>
    </row>
    <row r="20" spans="1:21" s="1" customFormat="1" ht="21.75" thickTop="1">
      <c r="B20" s="813" t="s">
        <v>1312</v>
      </c>
      <c r="C20" s="813"/>
      <c r="D20" s="813"/>
      <c r="E20" s="813"/>
      <c r="F20" s="813"/>
      <c r="G20" s="813"/>
      <c r="H20" s="813"/>
      <c r="I20" s="813"/>
      <c r="J20" s="813"/>
      <c r="K20" s="813"/>
      <c r="L20" s="813"/>
      <c r="M20" s="813"/>
      <c r="N20" s="813"/>
      <c r="O20" s="813"/>
      <c r="P20" s="813"/>
    </row>
    <row r="21" spans="1:21" ht="20.25">
      <c r="A21" s="6"/>
      <c r="B21" s="879" t="s">
        <v>1247</v>
      </c>
      <c r="C21" s="879"/>
      <c r="D21" s="879"/>
      <c r="E21" s="879"/>
      <c r="F21" s="879"/>
      <c r="G21" s="879"/>
      <c r="H21" s="879"/>
      <c r="I21" s="879"/>
      <c r="J21" s="879"/>
      <c r="K21" s="879"/>
      <c r="L21" s="879"/>
      <c r="M21" s="879"/>
      <c r="N21" s="879"/>
      <c r="O21" s="879"/>
      <c r="P21" s="879"/>
      <c r="Q21" s="6"/>
      <c r="R21" s="6"/>
      <c r="S21" s="6"/>
      <c r="T21" s="6"/>
      <c r="U21" s="6"/>
    </row>
    <row r="22" spans="1:21" ht="21">
      <c r="B22" s="77"/>
      <c r="C22" s="77"/>
      <c r="D22" s="77"/>
      <c r="E22" s="77"/>
      <c r="F22" s="77"/>
      <c r="G22" s="77"/>
      <c r="H22" s="77"/>
      <c r="I22" s="77"/>
      <c r="J22" s="77"/>
      <c r="K22" s="77"/>
      <c r="L22" s="77"/>
      <c r="M22" s="77"/>
      <c r="N22" s="32" t="s">
        <v>667</v>
      </c>
      <c r="O22" s="668">
        <f>مفروضات!$C$4</f>
        <v>1401</v>
      </c>
      <c r="P22" s="32">
        <v>1401</v>
      </c>
      <c r="Q22" s="18"/>
    </row>
    <row r="23" spans="1:21" s="1" customFormat="1" ht="21">
      <c r="B23" s="77"/>
      <c r="C23" s="77"/>
      <c r="D23" s="77"/>
      <c r="E23" s="77"/>
      <c r="F23" s="77"/>
      <c r="G23" s="77"/>
      <c r="H23" s="77"/>
      <c r="I23" s="77"/>
      <c r="J23" s="77"/>
      <c r="K23" s="77"/>
      <c r="N23" s="297" t="s">
        <v>103</v>
      </c>
      <c r="O23" s="666"/>
      <c r="P23" s="297" t="s">
        <v>103</v>
      </c>
    </row>
    <row r="24" spans="1:21" s="1" customFormat="1" ht="21">
      <c r="B24" s="875" t="s">
        <v>542</v>
      </c>
      <c r="C24" s="875"/>
      <c r="D24" s="875"/>
      <c r="E24" s="875"/>
      <c r="F24" s="875"/>
      <c r="G24" s="875"/>
      <c r="H24" s="875"/>
      <c r="I24" s="875"/>
      <c r="J24" s="875"/>
      <c r="K24" s="875"/>
      <c r="L24" s="875"/>
      <c r="M24" s="3"/>
      <c r="N24" s="297">
        <v>1552784000000</v>
      </c>
      <c r="O24" s="666"/>
      <c r="P24" s="297">
        <v>1126014000000</v>
      </c>
    </row>
    <row r="25" spans="1:21" s="1" customFormat="1" ht="21">
      <c r="B25" s="875" t="s">
        <v>543</v>
      </c>
      <c r="C25" s="875"/>
      <c r="D25" s="875"/>
      <c r="E25" s="875"/>
      <c r="F25" s="875"/>
      <c r="G25" s="875"/>
      <c r="H25" s="875"/>
      <c r="I25" s="875"/>
      <c r="J25" s="875"/>
      <c r="K25" s="875"/>
      <c r="L25" s="875"/>
      <c r="M25" s="3"/>
      <c r="N25" s="297">
        <v>331000000000</v>
      </c>
      <c r="O25" s="666"/>
      <c r="P25" s="139">
        <v>0</v>
      </c>
    </row>
    <row r="26" spans="1:21" ht="21.75" thickBot="1">
      <c r="B26" s="77"/>
      <c r="C26" s="77"/>
      <c r="D26" s="77"/>
      <c r="E26" s="77"/>
      <c r="F26" s="77"/>
      <c r="G26" s="77"/>
      <c r="H26" s="77"/>
      <c r="I26" s="77"/>
      <c r="J26" s="77"/>
      <c r="K26" s="77"/>
      <c r="N26" s="300">
        <f>SUM(N24:N25)</f>
        <v>1883784000000</v>
      </c>
      <c r="O26" s="666"/>
      <c r="P26" s="300">
        <f>SUM(P24:P25)</f>
        <v>1126014000000</v>
      </c>
    </row>
    <row r="27" spans="1:21" ht="25.5" thickTop="1">
      <c r="B27" s="77"/>
      <c r="C27" s="77"/>
      <c r="D27" s="77"/>
      <c r="E27" s="77"/>
      <c r="F27" s="77"/>
      <c r="G27" s="77"/>
      <c r="H27" s="77"/>
      <c r="I27" s="77"/>
      <c r="J27" s="77"/>
      <c r="K27" s="77"/>
      <c r="N27" s="299"/>
      <c r="O27" s="669"/>
      <c r="P27" s="299"/>
    </row>
    <row r="28" spans="1:21" ht="47.25" customHeight="1">
      <c r="B28" s="858" t="s">
        <v>1311</v>
      </c>
      <c r="C28" s="858"/>
      <c r="D28" s="858"/>
      <c r="E28" s="858"/>
      <c r="F28" s="858"/>
      <c r="G28" s="858"/>
      <c r="H28" s="858"/>
      <c r="I28" s="858"/>
      <c r="J28" s="858"/>
      <c r="K28" s="858"/>
      <c r="L28" s="858"/>
      <c r="M28" s="858"/>
      <c r="N28" s="858"/>
      <c r="O28" s="858"/>
      <c r="P28" s="858"/>
    </row>
    <row r="29" spans="1:21" ht="20.25">
      <c r="A29" s="6"/>
      <c r="B29" s="879" t="s">
        <v>1248</v>
      </c>
      <c r="C29" s="879"/>
      <c r="D29" s="879"/>
      <c r="E29" s="879"/>
      <c r="F29" s="879"/>
      <c r="G29" s="879"/>
      <c r="H29" s="879"/>
      <c r="I29" s="879"/>
      <c r="J29" s="879"/>
      <c r="K29" s="879"/>
      <c r="L29" s="879"/>
      <c r="M29" s="879"/>
      <c r="N29" s="879"/>
      <c r="O29" s="879"/>
      <c r="P29" s="879"/>
      <c r="Q29" s="6"/>
      <c r="R29" s="6"/>
      <c r="S29" s="6"/>
      <c r="T29" s="6"/>
      <c r="U29" s="6"/>
    </row>
    <row r="30" spans="1:21" ht="21">
      <c r="B30" s="16"/>
      <c r="C30" s="16"/>
      <c r="D30" s="16"/>
      <c r="E30" s="16"/>
      <c r="F30" s="16"/>
      <c r="G30" s="16"/>
      <c r="H30" s="16"/>
      <c r="I30" s="16"/>
      <c r="J30" s="16"/>
      <c r="K30" s="16"/>
      <c r="L30" s="14"/>
      <c r="M30" s="14"/>
      <c r="N30" s="32">
        <v>1402</v>
      </c>
      <c r="O30" s="665"/>
      <c r="P30" s="32">
        <v>1401</v>
      </c>
      <c r="Q30" s="18"/>
    </row>
    <row r="31" spans="1:21" s="1" customFormat="1" ht="21">
      <c r="B31" s="3"/>
      <c r="C31" s="3"/>
      <c r="D31" s="3"/>
      <c r="E31" s="3"/>
      <c r="F31" s="3"/>
      <c r="G31" s="3"/>
      <c r="H31" s="3"/>
      <c r="I31" s="3"/>
      <c r="J31" s="3"/>
      <c r="K31" s="3"/>
      <c r="N31" s="297" t="s">
        <v>103</v>
      </c>
      <c r="O31" s="666"/>
      <c r="P31" s="297" t="s">
        <v>103</v>
      </c>
    </row>
    <row r="32" spans="1:21" s="1" customFormat="1" ht="21">
      <c r="B32" s="3" t="str">
        <f>'[6] 22و21و20و19دریافتی ها  '!B48</f>
        <v>دریافتی از محل اعتبارات مبارزه با کرونا- اعتبارات عمومی هزینه ای</v>
      </c>
      <c r="C32" s="3"/>
      <c r="D32" s="3"/>
      <c r="E32" s="3"/>
      <c r="F32" s="3"/>
      <c r="G32" s="3"/>
      <c r="H32" s="3"/>
      <c r="I32" s="3"/>
      <c r="J32" s="3"/>
      <c r="K32" s="3"/>
      <c r="N32" s="440">
        <v>0</v>
      </c>
      <c r="O32" s="666"/>
      <c r="P32" s="315">
        <v>488993000000</v>
      </c>
    </row>
    <row r="33" spans="2:16" s="1" customFormat="1" ht="21">
      <c r="B33" s="3" t="str">
        <f>'[6] 22و21و20و19دریافتی ها  '!B49</f>
        <v>دریافتی از محل اعتبارات مبارزه با کرونا -تملک دارایی سرمایه ای</v>
      </c>
      <c r="C33" s="3"/>
      <c r="D33" s="3"/>
      <c r="E33" s="3"/>
      <c r="F33" s="3"/>
      <c r="G33" s="3"/>
      <c r="H33" s="3"/>
      <c r="I33" s="3"/>
      <c r="J33" s="3"/>
      <c r="K33" s="3"/>
      <c r="N33" s="440">
        <v>0</v>
      </c>
      <c r="O33" s="666"/>
      <c r="P33" s="315">
        <v>4000000000</v>
      </c>
    </row>
    <row r="34" spans="2:16" s="1" customFormat="1" ht="21">
      <c r="B34" s="3" t="str">
        <f>'[6] 22و21و20و19دریافتی ها  '!B51</f>
        <v xml:space="preserve">دریافتی از محل مدیریت اجرای پزشک خانواده </v>
      </c>
      <c r="C34" s="3"/>
      <c r="D34" s="3"/>
      <c r="E34" s="3"/>
      <c r="F34" s="3"/>
      <c r="G34" s="3"/>
      <c r="H34" s="3"/>
      <c r="I34" s="3"/>
      <c r="J34" s="3"/>
      <c r="K34" s="3"/>
      <c r="N34" s="440">
        <v>0</v>
      </c>
      <c r="O34" s="666"/>
      <c r="P34" s="315">
        <f>17799000000+8873000000</f>
        <v>26672000000</v>
      </c>
    </row>
    <row r="35" spans="2:16" s="1" customFormat="1" ht="21">
      <c r="B35" s="3" t="str">
        <f>'[6] 22و21و20و19دریافتی ها  '!B55</f>
        <v xml:space="preserve">دریافتی از کمیساریای عالی پناهندگان </v>
      </c>
      <c r="C35" s="3"/>
      <c r="D35" s="3"/>
      <c r="E35" s="3"/>
      <c r="F35" s="3"/>
      <c r="G35" s="3"/>
      <c r="H35" s="3"/>
      <c r="I35" s="3"/>
      <c r="J35" s="3"/>
      <c r="K35" s="3"/>
      <c r="N35" s="297">
        <v>23456082992</v>
      </c>
      <c r="O35" s="666"/>
      <c r="P35" s="315">
        <f>19272500000+1913158616</f>
        <v>21185658616</v>
      </c>
    </row>
    <row r="36" spans="2:16" s="1" customFormat="1" ht="21">
      <c r="B36" s="3" t="str">
        <f>'[6] 22و21و20و19دریافتی ها  '!B56</f>
        <v>دریافتی از محل جبران ما به التفاوت دارو ،واکسن و شیر خشک</v>
      </c>
      <c r="C36" s="3"/>
      <c r="D36" s="3"/>
      <c r="E36" s="3"/>
      <c r="F36" s="3"/>
      <c r="G36" s="3"/>
      <c r="H36" s="3"/>
      <c r="I36" s="3"/>
      <c r="J36" s="3"/>
      <c r="K36" s="3"/>
      <c r="N36" s="440">
        <v>0</v>
      </c>
      <c r="O36" s="666"/>
      <c r="P36" s="315">
        <v>3000000000</v>
      </c>
    </row>
    <row r="37" spans="2:16" s="1" customFormat="1" ht="21">
      <c r="B37" s="3" t="str">
        <f>'[6] 22و21و20و19دریافتی ها  '!B64</f>
        <v>کمک به بیماران خاص و صعب العلاج</v>
      </c>
      <c r="C37" s="3"/>
      <c r="D37" s="3"/>
      <c r="E37" s="3"/>
      <c r="F37" s="3"/>
      <c r="G37" s="3"/>
      <c r="H37" s="3"/>
      <c r="I37" s="3"/>
      <c r="J37" s="3"/>
      <c r="K37" s="3"/>
      <c r="N37" s="440">
        <v>0</v>
      </c>
      <c r="O37" s="666"/>
      <c r="P37" s="315">
        <v>495000000</v>
      </c>
    </row>
    <row r="38" spans="2:16" s="1" customFormat="1" ht="21">
      <c r="B38" s="3" t="s">
        <v>1015</v>
      </c>
      <c r="C38" s="3"/>
      <c r="D38" s="3"/>
      <c r="E38" s="3"/>
      <c r="F38" s="3"/>
      <c r="G38" s="3"/>
      <c r="H38" s="3"/>
      <c r="I38" s="3"/>
      <c r="J38" s="3"/>
      <c r="K38" s="3"/>
      <c r="N38" s="297">
        <v>16062000000</v>
      </c>
      <c r="O38" s="666"/>
      <c r="P38" s="87">
        <v>0</v>
      </c>
    </row>
    <row r="39" spans="2:16" s="1" customFormat="1" ht="21">
      <c r="B39" s="3" t="s">
        <v>1016</v>
      </c>
      <c r="C39" s="3"/>
      <c r="D39" s="3"/>
      <c r="E39" s="3"/>
      <c r="F39" s="3"/>
      <c r="G39" s="3"/>
      <c r="H39" s="3"/>
      <c r="I39" s="3"/>
      <c r="J39" s="3"/>
      <c r="K39" s="3"/>
      <c r="N39" s="297">
        <v>184718000000</v>
      </c>
      <c r="O39" s="666"/>
      <c r="P39" s="87">
        <v>0</v>
      </c>
    </row>
    <row r="40" spans="2:16" s="1" customFormat="1" ht="21">
      <c r="B40" s="3" t="str">
        <f>'[6] 22و21و20و19دریافتی ها  '!B67</f>
        <v>بیماریابی فعال و درمان سل مهاجرین افغان</v>
      </c>
      <c r="C40" s="3"/>
      <c r="D40" s="3"/>
      <c r="E40" s="3"/>
      <c r="F40" s="3"/>
      <c r="G40" s="3"/>
      <c r="H40" s="3"/>
      <c r="I40" s="3"/>
      <c r="J40" s="3"/>
      <c r="K40" s="3"/>
      <c r="N40" s="297">
        <v>1634812512</v>
      </c>
      <c r="O40" s="666"/>
      <c r="P40" s="315">
        <v>209207760</v>
      </c>
    </row>
    <row r="41" spans="2:16" s="1" customFormat="1" ht="21">
      <c r="B41" s="3" t="str">
        <f>'[6] 22و21و20و19دریافتی ها  '!B68</f>
        <v>ساخت مراکز ناباروری</v>
      </c>
      <c r="C41" s="3"/>
      <c r="D41" s="3"/>
      <c r="E41" s="3"/>
      <c r="F41" s="3"/>
      <c r="G41" s="3"/>
      <c r="H41" s="3"/>
      <c r="I41" s="3"/>
      <c r="J41" s="3"/>
      <c r="K41" s="3"/>
      <c r="N41" s="87">
        <v>0</v>
      </c>
      <c r="O41" s="666"/>
      <c r="P41" s="315">
        <v>20000000000</v>
      </c>
    </row>
    <row r="42" spans="2:16" s="1" customFormat="1" ht="21">
      <c r="B42" s="3" t="str">
        <f>'[6] 22و21و20و19دریافتی ها  '!B70</f>
        <v>ماندگاری پزشکان مناطق محروم</v>
      </c>
      <c r="C42" s="3"/>
      <c r="D42" s="3"/>
      <c r="E42" s="3"/>
      <c r="F42" s="3"/>
      <c r="G42" s="3"/>
      <c r="H42" s="3"/>
      <c r="I42" s="3"/>
      <c r="J42" s="3"/>
      <c r="K42" s="3"/>
      <c r="N42" s="87">
        <v>0</v>
      </c>
      <c r="O42" s="666"/>
      <c r="P42" s="315">
        <v>3578000000</v>
      </c>
    </row>
    <row r="43" spans="2:16" s="1" customFormat="1" ht="21">
      <c r="B43" s="3" t="str">
        <f>'[6] 22و21و20و19دریافتی ها  '!B71</f>
        <v>حضور پزشکان متخصص مقیم دربیمارستان</v>
      </c>
      <c r="C43" s="3"/>
      <c r="D43" s="3"/>
      <c r="E43" s="3"/>
      <c r="F43" s="3"/>
      <c r="G43" s="3"/>
      <c r="H43" s="3"/>
      <c r="I43" s="3"/>
      <c r="J43" s="3"/>
      <c r="K43" s="3"/>
      <c r="N43" s="87">
        <v>0</v>
      </c>
      <c r="O43" s="666"/>
      <c r="P43" s="315">
        <v>6946000000</v>
      </c>
    </row>
    <row r="44" spans="2:16" s="1" customFormat="1" ht="21">
      <c r="B44" s="3" t="str">
        <f>'[6] 22و21و20و19دریافتی ها  '!B72</f>
        <v>کمک به احداث مراکز جامع روستایی</v>
      </c>
      <c r="C44" s="3"/>
      <c r="D44" s="3"/>
      <c r="E44" s="3"/>
      <c r="F44" s="3"/>
      <c r="G44" s="3"/>
      <c r="H44" s="3"/>
      <c r="I44" s="3"/>
      <c r="J44" s="3"/>
      <c r="K44" s="3"/>
      <c r="N44" s="297">
        <f>1800000000+1000000000+5000000000</f>
        <v>7800000000</v>
      </c>
      <c r="O44" s="666"/>
      <c r="P44" s="315">
        <v>17200000000</v>
      </c>
    </row>
    <row r="45" spans="2:16" s="1" customFormat="1" ht="21">
      <c r="B45" s="3" t="str">
        <f>'[6] 22و21و20و19دریافتی ها  '!B73</f>
        <v>صندوق رفاه دانشجویان</v>
      </c>
      <c r="C45" s="3"/>
      <c r="D45" s="3"/>
      <c r="E45" s="3"/>
      <c r="F45" s="3"/>
      <c r="G45" s="3"/>
      <c r="H45" s="3"/>
      <c r="I45" s="3"/>
      <c r="J45" s="3"/>
      <c r="K45" s="3"/>
      <c r="N45" s="87">
        <v>0</v>
      </c>
      <c r="O45" s="666"/>
      <c r="P45" s="315">
        <v>400000000</v>
      </c>
    </row>
    <row r="46" spans="2:16" s="1" customFormat="1" ht="21">
      <c r="B46" s="3" t="str">
        <f>'[6] 22و21و20و19دریافتی ها  '!B74</f>
        <v>کاهش میزان پرداختی بیماران بستری</v>
      </c>
      <c r="C46" s="3"/>
      <c r="D46" s="3"/>
      <c r="E46" s="3"/>
      <c r="F46" s="3"/>
      <c r="G46" s="3"/>
      <c r="H46" s="3"/>
      <c r="I46" s="3"/>
      <c r="J46" s="3"/>
      <c r="K46" s="3"/>
      <c r="N46" s="87">
        <v>0</v>
      </c>
      <c r="O46" s="666"/>
      <c r="P46" s="315">
        <v>9853000000</v>
      </c>
    </row>
    <row r="47" spans="2:16" s="1" customFormat="1" ht="21">
      <c r="B47" s="3" t="str">
        <f>'[6] 22و21و20و19دریافتی ها  '!B75</f>
        <v>فرانشیز زایمان طبیعی</v>
      </c>
      <c r="C47" s="3"/>
      <c r="D47" s="3"/>
      <c r="E47" s="3"/>
      <c r="F47" s="3"/>
      <c r="G47" s="3"/>
      <c r="H47" s="3"/>
      <c r="I47" s="3"/>
      <c r="J47" s="3"/>
      <c r="K47" s="3"/>
      <c r="N47" s="87">
        <v>0</v>
      </c>
      <c r="O47" s="666"/>
      <c r="P47" s="315">
        <v>238000000</v>
      </c>
    </row>
    <row r="48" spans="2:16" s="1" customFormat="1" ht="21">
      <c r="B48" s="3" t="str">
        <f>'[6] 22و21و20و19دریافتی ها  '!B76</f>
        <v>موادمخدر</v>
      </c>
      <c r="C48" s="3"/>
      <c r="D48" s="3"/>
      <c r="E48" s="3"/>
      <c r="F48" s="3"/>
      <c r="G48" s="3"/>
      <c r="H48" s="3"/>
      <c r="I48" s="3"/>
      <c r="J48" s="3"/>
      <c r="K48" s="3"/>
      <c r="N48" s="297">
        <v>200000000</v>
      </c>
      <c r="O48" s="666"/>
      <c r="P48" s="315">
        <v>115000000</v>
      </c>
    </row>
    <row r="49" spans="2:16" s="1" customFormat="1" ht="21">
      <c r="B49" s="885" t="s">
        <v>649</v>
      </c>
      <c r="C49" s="885"/>
      <c r="D49" s="885"/>
      <c r="E49" s="885"/>
      <c r="F49" s="885"/>
      <c r="G49" s="885"/>
      <c r="H49" s="885"/>
      <c r="I49" s="885"/>
      <c r="J49" s="885"/>
      <c r="K49" s="885"/>
      <c r="L49" s="885"/>
      <c r="M49" s="885"/>
      <c r="N49" s="885"/>
      <c r="O49" s="885"/>
      <c r="P49" s="885"/>
    </row>
    <row r="50" spans="2:16" s="1" customFormat="1" ht="21">
      <c r="B50" s="885" t="s">
        <v>33</v>
      </c>
      <c r="C50" s="885"/>
      <c r="D50" s="885"/>
      <c r="E50" s="885"/>
      <c r="F50" s="885"/>
      <c r="G50" s="885"/>
      <c r="H50" s="885"/>
      <c r="I50" s="885"/>
      <c r="J50" s="885"/>
      <c r="K50" s="885"/>
      <c r="L50" s="885"/>
      <c r="M50" s="885"/>
      <c r="N50" s="885"/>
      <c r="O50" s="885"/>
      <c r="P50" s="885"/>
    </row>
    <row r="51" spans="2:16" s="1" customFormat="1" ht="21">
      <c r="B51" s="885" t="s">
        <v>465</v>
      </c>
      <c r="C51" s="885"/>
      <c r="D51" s="885"/>
      <c r="E51" s="885"/>
      <c r="F51" s="885"/>
      <c r="G51" s="885"/>
      <c r="H51" s="885"/>
      <c r="I51" s="885"/>
      <c r="J51" s="885"/>
      <c r="K51" s="885"/>
      <c r="L51" s="885"/>
      <c r="M51" s="885"/>
      <c r="N51" s="885"/>
      <c r="O51" s="885"/>
      <c r="P51" s="885"/>
    </row>
    <row r="52" spans="2:16" s="1" customFormat="1" ht="21">
      <c r="B52" s="3" t="str">
        <f>'[6] 22و21و20و19دریافتی ها  '!B77</f>
        <v>پاداش پایان خدمت</v>
      </c>
      <c r="C52" s="3"/>
      <c r="D52" s="3"/>
      <c r="E52" s="3"/>
      <c r="F52" s="3"/>
      <c r="G52" s="3"/>
      <c r="H52" s="3"/>
      <c r="I52" s="3"/>
      <c r="J52" s="3"/>
      <c r="K52" s="3"/>
      <c r="N52" s="297">
        <v>372657000000</v>
      </c>
      <c r="O52" s="666"/>
      <c r="P52" s="315">
        <v>266644000000</v>
      </c>
    </row>
    <row r="53" spans="2:16" s="1" customFormat="1" ht="21">
      <c r="B53" s="3" t="str">
        <f>'[6] 22و21و20و19دریافتی ها  '!B78</f>
        <v>تسویه بدهی دارویی</v>
      </c>
      <c r="C53" s="3"/>
      <c r="D53" s="3"/>
      <c r="E53" s="3"/>
      <c r="F53" s="3"/>
      <c r="G53" s="3"/>
      <c r="H53" s="3"/>
      <c r="I53" s="3"/>
      <c r="J53" s="3"/>
      <c r="K53" s="3"/>
      <c r="N53" s="297">
        <v>169844404353</v>
      </c>
      <c r="O53" s="666"/>
      <c r="P53" s="315">
        <v>506645000000</v>
      </c>
    </row>
    <row r="54" spans="2:16" s="1" customFormat="1" ht="21">
      <c r="B54" s="3" t="s">
        <v>1013</v>
      </c>
      <c r="C54" s="3"/>
      <c r="D54" s="3"/>
      <c r="E54" s="3"/>
      <c r="F54" s="3"/>
      <c r="G54" s="3"/>
      <c r="H54" s="3"/>
      <c r="I54" s="3"/>
      <c r="J54" s="3"/>
      <c r="K54" s="3"/>
      <c r="N54" s="297">
        <v>2009701000</v>
      </c>
      <c r="O54" s="666"/>
      <c r="P54" s="87">
        <v>0</v>
      </c>
    </row>
    <row r="55" spans="2:16" s="1" customFormat="1" ht="21">
      <c r="B55" s="3" t="s">
        <v>1014</v>
      </c>
      <c r="C55" s="3"/>
      <c r="D55" s="3"/>
      <c r="E55" s="3"/>
      <c r="F55" s="3"/>
      <c r="G55" s="3"/>
      <c r="H55" s="3"/>
      <c r="I55" s="3"/>
      <c r="J55" s="3"/>
      <c r="K55" s="3"/>
      <c r="N55" s="297">
        <v>44000000000</v>
      </c>
      <c r="O55" s="666"/>
      <c r="P55" s="87">
        <v>0</v>
      </c>
    </row>
    <row r="56" spans="2:16" s="1" customFormat="1" ht="21">
      <c r="B56" s="3" t="s">
        <v>1017</v>
      </c>
      <c r="C56" s="3"/>
      <c r="D56" s="3"/>
      <c r="E56" s="3"/>
      <c r="F56" s="3"/>
      <c r="G56" s="3"/>
      <c r="H56" s="3"/>
      <c r="I56" s="3"/>
      <c r="J56" s="3"/>
      <c r="K56" s="3"/>
      <c r="N56" s="297">
        <v>157969685</v>
      </c>
      <c r="O56" s="666"/>
      <c r="P56" s="87">
        <v>0</v>
      </c>
    </row>
    <row r="57" spans="2:16" s="1" customFormat="1" ht="21">
      <c r="B57" s="3" t="s">
        <v>1018</v>
      </c>
      <c r="C57" s="3"/>
      <c r="D57" s="3"/>
      <c r="E57" s="3"/>
      <c r="F57" s="3"/>
      <c r="G57" s="3"/>
      <c r="H57" s="3"/>
      <c r="I57" s="3"/>
      <c r="J57" s="3"/>
      <c r="K57" s="3"/>
      <c r="N57" s="297">
        <v>18015759410</v>
      </c>
      <c r="O57" s="666"/>
      <c r="P57" s="87">
        <v>0</v>
      </c>
    </row>
    <row r="58" spans="2:16" s="1" customFormat="1" ht="21">
      <c r="B58" s="3" t="s">
        <v>1019</v>
      </c>
      <c r="C58" s="3"/>
      <c r="D58" s="3"/>
      <c r="E58" s="3"/>
      <c r="F58" s="3"/>
      <c r="G58" s="3"/>
      <c r="H58" s="3"/>
      <c r="I58" s="3"/>
      <c r="J58" s="3"/>
      <c r="K58" s="3"/>
      <c r="N58" s="297">
        <v>1586000000</v>
      </c>
      <c r="O58" s="666"/>
      <c r="P58" s="87">
        <v>0</v>
      </c>
    </row>
    <row r="59" spans="2:16" s="1" customFormat="1" ht="21">
      <c r="B59" s="3" t="s">
        <v>51</v>
      </c>
      <c r="C59" s="3"/>
      <c r="D59" s="3"/>
      <c r="E59" s="3"/>
      <c r="F59" s="3"/>
      <c r="G59" s="3"/>
      <c r="H59" s="3"/>
      <c r="I59" s="3"/>
      <c r="J59" s="3"/>
      <c r="K59" s="3"/>
      <c r="N59" s="297">
        <v>63000000</v>
      </c>
      <c r="O59" s="666"/>
      <c r="P59" s="87">
        <v>0</v>
      </c>
    </row>
    <row r="60" spans="2:16" s="1" customFormat="1" ht="21.75" thickBot="1">
      <c r="B60" s="3"/>
      <c r="C60" s="3"/>
      <c r="D60" s="3"/>
      <c r="E60" s="3"/>
      <c r="F60" s="3"/>
      <c r="G60" s="3"/>
      <c r="H60" s="3"/>
      <c r="I60" s="3"/>
      <c r="J60" s="3"/>
      <c r="K60" s="3"/>
      <c r="N60" s="300">
        <f>SUM(N52:N59)+SUM(N32:N48)</f>
        <v>842204729952</v>
      </c>
      <c r="O60" s="666">
        <f>SUM(O52:O59)+SUM(O32:O48)</f>
        <v>0</v>
      </c>
      <c r="P60" s="300">
        <f>SUM(P52:P59)+SUM(P32:P48)</f>
        <v>1376173866376</v>
      </c>
    </row>
    <row r="61" spans="2:16" ht="21.75" thickTop="1">
      <c r="B61" s="77"/>
      <c r="C61" s="77"/>
      <c r="D61" s="77"/>
      <c r="E61" s="77"/>
      <c r="F61" s="77"/>
      <c r="G61" s="77"/>
      <c r="H61" s="77"/>
      <c r="I61" s="77"/>
      <c r="J61" s="77"/>
      <c r="K61" s="77"/>
      <c r="O61" s="670"/>
      <c r="P61" s="301"/>
    </row>
    <row r="62" spans="2:16" ht="21">
      <c r="B62" s="698" t="s">
        <v>1327</v>
      </c>
      <c r="C62" s="698"/>
      <c r="D62" s="698"/>
      <c r="E62" s="698"/>
      <c r="F62" s="698"/>
      <c r="G62" s="698"/>
      <c r="H62" s="698"/>
      <c r="I62" s="698"/>
      <c r="J62" s="698"/>
      <c r="K62" s="698"/>
      <c r="O62" s="670"/>
      <c r="P62" s="301"/>
    </row>
    <row r="63" spans="2:16" ht="21.75">
      <c r="B63" s="698"/>
      <c r="C63" s="698"/>
      <c r="D63" s="698"/>
      <c r="E63" s="698"/>
      <c r="F63" s="698"/>
      <c r="G63" s="698"/>
      <c r="H63" s="698"/>
      <c r="I63" s="698"/>
      <c r="J63" s="698"/>
      <c r="K63" s="698"/>
      <c r="L63" s="700" t="s">
        <v>116</v>
      </c>
      <c r="M63" s="696"/>
      <c r="N63" s="697">
        <v>1402</v>
      </c>
      <c r="O63" s="665"/>
      <c r="P63" s="697">
        <v>1401</v>
      </c>
    </row>
    <row r="64" spans="2:16" ht="21.75">
      <c r="B64" s="698"/>
      <c r="C64" s="698"/>
      <c r="D64" s="698"/>
      <c r="E64" s="698"/>
      <c r="F64" s="698"/>
      <c r="G64" s="698"/>
      <c r="H64" s="698"/>
      <c r="I64" s="698"/>
      <c r="J64" s="698"/>
      <c r="K64" s="698"/>
      <c r="L64" s="696"/>
      <c r="M64" s="696"/>
      <c r="N64" s="297" t="s">
        <v>103</v>
      </c>
      <c r="O64" s="666"/>
      <c r="P64" s="297" t="s">
        <v>103</v>
      </c>
    </row>
    <row r="65" spans="2:16" ht="21">
      <c r="B65" s="698" t="s">
        <v>60</v>
      </c>
      <c r="C65" s="698"/>
      <c r="D65" s="698"/>
      <c r="E65" s="698"/>
      <c r="F65" s="698"/>
      <c r="G65" s="698"/>
      <c r="H65" s="698"/>
      <c r="I65" s="698"/>
      <c r="J65" s="698"/>
      <c r="K65" s="698"/>
      <c r="L65" s="703" t="s">
        <v>1318</v>
      </c>
      <c r="N65" s="297">
        <v>18246491000</v>
      </c>
      <c r="O65" s="670"/>
      <c r="P65" s="297">
        <v>26489214991</v>
      </c>
    </row>
    <row r="66" spans="2:16" ht="21.75" thickBot="1">
      <c r="B66" s="77"/>
      <c r="C66" s="77"/>
      <c r="D66" s="77"/>
      <c r="E66" s="77"/>
      <c r="F66" s="77"/>
      <c r="G66" s="77"/>
      <c r="H66" s="77"/>
      <c r="I66" s="77"/>
      <c r="J66" s="77"/>
      <c r="K66" s="77"/>
      <c r="N66" s="300">
        <f>N65</f>
        <v>18246491000</v>
      </c>
      <c r="O66" s="666"/>
      <c r="P66" s="300">
        <f>P65</f>
        <v>26489214991</v>
      </c>
    </row>
    <row r="67" spans="2:16" ht="18" customHeight="1" thickTop="1">
      <c r="B67" s="698"/>
      <c r="C67" s="698"/>
      <c r="D67" s="698"/>
      <c r="E67" s="698"/>
      <c r="F67" s="698"/>
      <c r="G67" s="698"/>
      <c r="H67" s="698"/>
      <c r="I67" s="698"/>
      <c r="J67" s="698"/>
      <c r="K67" s="698"/>
      <c r="N67" s="303"/>
      <c r="O67" s="666"/>
      <c r="P67" s="303"/>
    </row>
    <row r="68" spans="2:16" ht="21">
      <c r="B68" s="813" t="s">
        <v>1328</v>
      </c>
      <c r="C68" s="813"/>
      <c r="D68" s="813"/>
      <c r="E68" s="813"/>
      <c r="F68" s="813"/>
      <c r="G68" s="813"/>
      <c r="H68" s="813"/>
      <c r="I68" s="813"/>
      <c r="J68" s="813"/>
      <c r="K68" s="813"/>
      <c r="L68" s="813"/>
      <c r="M68" s="813"/>
      <c r="N68" s="813"/>
      <c r="O68" s="813"/>
      <c r="P68" s="813"/>
    </row>
    <row r="70" spans="2:16" ht="20.25">
      <c r="B70" s="11" t="s">
        <v>1329</v>
      </c>
      <c r="C70" s="6"/>
      <c r="D70" s="6"/>
      <c r="E70" s="6"/>
      <c r="F70" s="6"/>
      <c r="G70" s="6"/>
      <c r="H70" s="6"/>
      <c r="I70" s="6"/>
      <c r="J70" s="6"/>
      <c r="K70" s="6"/>
      <c r="L70" s="6"/>
      <c r="M70" s="6"/>
      <c r="N70" s="6"/>
      <c r="O70" s="671"/>
      <c r="P70" s="6"/>
    </row>
    <row r="71" spans="2:16" ht="21">
      <c r="B71" s="6"/>
      <c r="C71" s="687" t="s">
        <v>1251</v>
      </c>
      <c r="D71" s="687"/>
      <c r="E71" s="687"/>
      <c r="F71" s="687"/>
      <c r="G71" s="687"/>
      <c r="H71" s="687"/>
      <c r="I71" s="5"/>
      <c r="J71" s="5"/>
      <c r="L71" s="686" t="s">
        <v>116</v>
      </c>
      <c r="N71" s="119">
        <v>1402</v>
      </c>
      <c r="O71" s="671"/>
      <c r="P71" s="119">
        <v>1401</v>
      </c>
    </row>
    <row r="72" spans="2:16" ht="21">
      <c r="B72" s="5"/>
      <c r="C72" s="682"/>
      <c r="D72" s="681" t="s">
        <v>116</v>
      </c>
      <c r="E72" s="682"/>
      <c r="F72" s="114">
        <f>مفروضات!$C$3</f>
        <v>1402</v>
      </c>
      <c r="G72" s="680"/>
      <c r="H72" s="92">
        <f>مفروضات!$C$4</f>
        <v>1401</v>
      </c>
      <c r="I72" s="5"/>
      <c r="J72" s="5"/>
      <c r="N72" s="58" t="s">
        <v>103</v>
      </c>
      <c r="O72" s="666"/>
      <c r="P72" s="58" t="s">
        <v>103</v>
      </c>
    </row>
    <row r="73" spans="2:16" ht="21">
      <c r="B73" s="689" t="s">
        <v>59</v>
      </c>
      <c r="C73" s="682"/>
      <c r="D73" s="689"/>
      <c r="E73" s="689"/>
      <c r="F73" s="20"/>
      <c r="G73" s="5"/>
      <c r="H73" s="20"/>
      <c r="I73" s="6"/>
      <c r="J73" s="6"/>
      <c r="L73" s="690" t="s">
        <v>1249</v>
      </c>
      <c r="N73" s="336">
        <f>N89</f>
        <v>5393019166322</v>
      </c>
      <c r="O73" s="672"/>
      <c r="P73" s="336">
        <f>P89</f>
        <v>4144926306116</v>
      </c>
    </row>
    <row r="74" spans="2:16" ht="21">
      <c r="B74" s="689" t="s">
        <v>1319</v>
      </c>
      <c r="C74" s="685"/>
      <c r="D74" s="688"/>
      <c r="E74" s="684"/>
      <c r="F74" s="304"/>
      <c r="G74" s="456"/>
      <c r="H74" s="304"/>
      <c r="I74" s="18"/>
      <c r="J74" s="5"/>
      <c r="L74" s="690" t="s">
        <v>1250</v>
      </c>
      <c r="N74" s="336">
        <f>N96</f>
        <v>591758856798</v>
      </c>
      <c r="O74" s="672"/>
      <c r="P74" s="336">
        <f>P96</f>
        <v>448630770761</v>
      </c>
    </row>
    <row r="75" spans="2:16" ht="21.75" thickBot="1">
      <c r="B75" s="689"/>
      <c r="C75" s="685"/>
      <c r="D75" s="688"/>
      <c r="E75" s="684"/>
      <c r="F75" s="304"/>
      <c r="G75" s="456"/>
      <c r="H75" s="304"/>
      <c r="I75" s="689"/>
      <c r="J75" s="678"/>
      <c r="N75" s="300">
        <f>SUM(N73:N74)</f>
        <v>5984778023120</v>
      </c>
      <c r="O75" s="438"/>
      <c r="P75" s="300">
        <f>SUM(P73:P74)</f>
        <v>4593557076877</v>
      </c>
    </row>
    <row r="76" spans="2:16" ht="16.5" customHeight="1" thickTop="1">
      <c r="B76" s="689"/>
      <c r="C76" s="685" t="s">
        <v>57</v>
      </c>
      <c r="D76" s="684"/>
      <c r="E76" s="684"/>
      <c r="F76" s="304">
        <v>0</v>
      </c>
      <c r="G76" s="456"/>
      <c r="H76" s="304">
        <v>0</v>
      </c>
      <c r="I76" s="689"/>
      <c r="J76" s="678"/>
      <c r="N76" s="336"/>
      <c r="O76" s="336"/>
      <c r="P76" s="336"/>
    </row>
    <row r="77" spans="2:16" ht="20.25">
      <c r="B77" s="879" t="s">
        <v>1330</v>
      </c>
      <c r="C77" s="879"/>
      <c r="D77" s="879"/>
      <c r="E77" s="879"/>
      <c r="F77" s="879">
        <f>SUM(F74:F76)</f>
        <v>0</v>
      </c>
      <c r="G77" s="879"/>
      <c r="H77" s="879">
        <f>SUM(H74:H76)</f>
        <v>0</v>
      </c>
      <c r="I77" s="879"/>
      <c r="J77" s="879"/>
      <c r="K77" s="879"/>
      <c r="L77" s="879"/>
      <c r="M77" s="879"/>
      <c r="N77" s="879"/>
      <c r="O77" s="879"/>
      <c r="P77" s="879"/>
    </row>
    <row r="78" spans="2:16" ht="21">
      <c r="B78" s="687"/>
      <c r="C78" s="687"/>
      <c r="D78" s="687"/>
      <c r="E78" s="687"/>
      <c r="F78" s="687"/>
      <c r="G78" s="687"/>
      <c r="H78" s="687"/>
      <c r="I78" s="687"/>
      <c r="J78" s="687"/>
      <c r="K78" s="687"/>
      <c r="N78" s="686">
        <v>1402</v>
      </c>
      <c r="O78" s="671"/>
      <c r="P78" s="686">
        <v>1401</v>
      </c>
    </row>
    <row r="79" spans="2:16" ht="21">
      <c r="B79" s="687"/>
      <c r="C79" s="687"/>
      <c r="D79" s="687"/>
      <c r="E79" s="687"/>
      <c r="F79" s="687"/>
      <c r="G79" s="687"/>
      <c r="H79" s="687"/>
      <c r="I79" s="687"/>
      <c r="J79" s="687"/>
      <c r="K79" s="687"/>
      <c r="N79" s="58" t="s">
        <v>103</v>
      </c>
      <c r="O79" s="666"/>
      <c r="P79" s="58" t="s">
        <v>103</v>
      </c>
    </row>
    <row r="80" spans="2:16" ht="21">
      <c r="B80" s="5" t="s">
        <v>1320</v>
      </c>
      <c r="C80" s="682"/>
      <c r="D80" s="5"/>
      <c r="E80" s="5"/>
      <c r="F80" s="315"/>
      <c r="G80" s="456"/>
      <c r="H80" s="315"/>
      <c r="I80" s="689"/>
      <c r="J80" s="678"/>
      <c r="N80" s="692">
        <v>5023950724635</v>
      </c>
      <c r="O80" s="672"/>
      <c r="P80" s="692">
        <v>3646105071091</v>
      </c>
    </row>
    <row r="81" spans="2:16" ht="21">
      <c r="B81" s="683" t="s">
        <v>255</v>
      </c>
      <c r="C81" s="687" t="s">
        <v>1252</v>
      </c>
      <c r="D81" s="687"/>
      <c r="E81" s="687"/>
      <c r="F81" s="687"/>
      <c r="G81" s="687"/>
      <c r="H81" s="687"/>
      <c r="I81" s="689"/>
      <c r="J81" s="678"/>
      <c r="N81" s="692">
        <v>165806402376</v>
      </c>
      <c r="O81" s="672"/>
      <c r="P81" s="692">
        <v>460300877528</v>
      </c>
    </row>
    <row r="82" spans="2:16" ht="21">
      <c r="B82" s="683" t="s">
        <v>256</v>
      </c>
      <c r="C82" s="682"/>
      <c r="D82" s="679"/>
      <c r="E82" s="682"/>
      <c r="F82" s="114">
        <f>مفروضات!$C$3</f>
        <v>1402</v>
      </c>
      <c r="G82" s="680"/>
      <c r="H82" s="92">
        <f>مفروضات!$C$4</f>
        <v>1401</v>
      </c>
      <c r="I82" s="5"/>
      <c r="J82" s="5"/>
      <c r="N82" s="692">
        <v>151551685279</v>
      </c>
      <c r="O82" s="672"/>
      <c r="P82" s="692">
        <v>38038953064</v>
      </c>
    </row>
    <row r="83" spans="2:16" ht="21">
      <c r="B83" s="683" t="s">
        <v>257</v>
      </c>
      <c r="C83" s="682"/>
      <c r="D83" s="679"/>
      <c r="E83" s="689"/>
      <c r="F83" s="20" t="s">
        <v>103</v>
      </c>
      <c r="G83" s="5"/>
      <c r="H83" s="20" t="s">
        <v>103</v>
      </c>
      <c r="I83" s="5"/>
      <c r="J83" s="5"/>
      <c r="N83" s="692">
        <v>143305095674</v>
      </c>
      <c r="O83" s="672"/>
      <c r="P83" s="692">
        <v>137824427992</v>
      </c>
    </row>
    <row r="84" spans="2:16" ht="21">
      <c r="B84" s="683" t="s">
        <v>258</v>
      </c>
      <c r="C84" s="683" t="s">
        <v>254</v>
      </c>
      <c r="D84" s="689"/>
      <c r="E84" s="689"/>
      <c r="F84" s="304">
        <v>80958100095</v>
      </c>
      <c r="G84" s="456"/>
      <c r="H84" s="304">
        <v>73446391164</v>
      </c>
      <c r="I84" s="6"/>
      <c r="J84" s="6"/>
      <c r="N84" s="692">
        <v>651644406439</v>
      </c>
      <c r="O84" s="672"/>
      <c r="P84" s="692">
        <v>414860800735</v>
      </c>
    </row>
    <row r="85" spans="2:16" ht="21">
      <c r="B85" s="683" t="s">
        <v>1321</v>
      </c>
      <c r="C85" s="683"/>
      <c r="D85" s="689"/>
      <c r="E85" s="689"/>
      <c r="F85" s="304"/>
      <c r="G85" s="456"/>
      <c r="H85" s="304"/>
      <c r="I85" s="6"/>
      <c r="J85" s="6"/>
      <c r="N85" s="693">
        <v>-275523622715</v>
      </c>
      <c r="O85" s="672"/>
      <c r="P85" s="693">
        <v>-239903593156</v>
      </c>
    </row>
    <row r="86" spans="2:16" ht="21">
      <c r="B86" s="683" t="s">
        <v>1322</v>
      </c>
      <c r="C86" s="683"/>
      <c r="D86" s="689"/>
      <c r="E86" s="689"/>
      <c r="F86" s="304"/>
      <c r="G86" s="456"/>
      <c r="H86" s="304"/>
      <c r="I86" s="6"/>
      <c r="J86" s="6"/>
      <c r="N86" s="693">
        <v>-357661831422</v>
      </c>
      <c r="O86" s="672"/>
      <c r="P86" s="693">
        <v>-249133213996</v>
      </c>
    </row>
    <row r="87" spans="2:16" ht="21">
      <c r="B87" s="683" t="s">
        <v>1323</v>
      </c>
      <c r="C87" s="683"/>
      <c r="D87" s="689"/>
      <c r="E87" s="689"/>
      <c r="F87" s="304"/>
      <c r="G87" s="456"/>
      <c r="H87" s="304"/>
      <c r="I87" s="6"/>
      <c r="J87" s="6"/>
      <c r="N87" s="693">
        <v>-12373655137</v>
      </c>
      <c r="O87" s="672"/>
      <c r="P87" s="693">
        <v>-15105785546</v>
      </c>
    </row>
    <row r="88" spans="2:16" ht="21">
      <c r="B88" s="683" t="s">
        <v>1324</v>
      </c>
      <c r="C88" s="683"/>
      <c r="D88" s="689"/>
      <c r="E88" s="689"/>
      <c r="F88" s="304"/>
      <c r="G88" s="456"/>
      <c r="H88" s="304"/>
      <c r="I88" s="6"/>
      <c r="J88" s="6"/>
      <c r="N88" s="693">
        <v>-97680038807</v>
      </c>
      <c r="O88" s="672"/>
      <c r="P88" s="693">
        <v>-48061231596</v>
      </c>
    </row>
    <row r="89" spans="2:16" ht="21.75" thickBot="1">
      <c r="B89" s="689"/>
      <c r="C89" s="683" t="s">
        <v>255</v>
      </c>
      <c r="D89" s="689"/>
      <c r="E89" s="689"/>
      <c r="F89" s="304">
        <v>4436756393</v>
      </c>
      <c r="G89" s="456"/>
      <c r="H89" s="304">
        <v>12580885681</v>
      </c>
      <c r="I89" s="18"/>
      <c r="J89" s="5"/>
      <c r="N89" s="300">
        <f>SUM(N80:N88)</f>
        <v>5393019166322</v>
      </c>
      <c r="O89" s="672"/>
      <c r="P89" s="300">
        <f>SUM(P80:P88)</f>
        <v>4144926306116</v>
      </c>
    </row>
    <row r="90" spans="2:16" ht="21.75" thickTop="1">
      <c r="B90" s="689"/>
      <c r="C90" s="683" t="s">
        <v>256</v>
      </c>
      <c r="D90" s="689"/>
      <c r="E90" s="689"/>
      <c r="F90" s="304">
        <v>4095467439</v>
      </c>
      <c r="G90" s="456"/>
      <c r="H90" s="304">
        <v>1093990059</v>
      </c>
      <c r="I90" s="689"/>
      <c r="J90" s="678"/>
      <c r="N90" s="692"/>
      <c r="O90" s="672"/>
      <c r="P90" s="692"/>
    </row>
    <row r="91" spans="2:16" ht="20.25">
      <c r="B91" s="879" t="s">
        <v>1331</v>
      </c>
      <c r="C91" s="879" t="s">
        <v>257</v>
      </c>
      <c r="D91" s="879"/>
      <c r="E91" s="879"/>
      <c r="F91" s="879">
        <v>14668022240</v>
      </c>
      <c r="G91" s="879"/>
      <c r="H91" s="879">
        <v>9170701794</v>
      </c>
      <c r="I91" s="879"/>
      <c r="J91" s="879"/>
      <c r="K91" s="879"/>
      <c r="L91" s="879"/>
      <c r="M91" s="879"/>
      <c r="N91" s="879"/>
      <c r="O91" s="879"/>
      <c r="P91" s="879"/>
    </row>
    <row r="92" spans="2:16" ht="21">
      <c r="B92" s="689"/>
      <c r="C92" s="683" t="s">
        <v>258</v>
      </c>
      <c r="D92" s="689"/>
      <c r="E92" s="689"/>
      <c r="F92" s="304">
        <v>7183467582</v>
      </c>
      <c r="G92" s="456"/>
      <c r="H92" s="304">
        <v>6975500414</v>
      </c>
      <c r="I92" s="689"/>
      <c r="J92" s="678"/>
      <c r="N92" s="686">
        <v>1402</v>
      </c>
      <c r="O92" s="671"/>
      <c r="P92" s="686">
        <v>1401</v>
      </c>
    </row>
    <row r="93" spans="2:16" ht="21.75" thickBot="1">
      <c r="B93" s="5"/>
      <c r="C93" s="682"/>
      <c r="D93" s="5"/>
      <c r="E93" s="5"/>
      <c r="F93" s="309">
        <f>SUM(F84:F92)</f>
        <v>111341813749</v>
      </c>
      <c r="G93" s="456"/>
      <c r="H93" s="309">
        <f>SUM(G84:H92)</f>
        <v>103267469112</v>
      </c>
      <c r="I93" s="5"/>
      <c r="J93" s="5"/>
      <c r="N93" s="58" t="s">
        <v>103</v>
      </c>
      <c r="O93" s="666"/>
      <c r="P93" s="58" t="s">
        <v>103</v>
      </c>
    </row>
    <row r="94" spans="2:16" ht="21.75" thickTop="1">
      <c r="B94" s="683" t="s">
        <v>254</v>
      </c>
      <c r="C94" s="879" t="s">
        <v>1253</v>
      </c>
      <c r="D94" s="879"/>
      <c r="E94" s="687"/>
      <c r="F94" s="463"/>
      <c r="G94" s="463"/>
      <c r="H94" s="463"/>
      <c r="I94" s="689"/>
      <c r="J94" s="678"/>
      <c r="N94" s="692">
        <v>584548905063</v>
      </c>
      <c r="O94" s="672"/>
      <c r="P94" s="692">
        <v>444199734454</v>
      </c>
    </row>
    <row r="95" spans="2:16" ht="21">
      <c r="B95" s="683" t="s">
        <v>1325</v>
      </c>
      <c r="C95" s="682"/>
      <c r="D95" s="679"/>
      <c r="E95" s="682"/>
      <c r="F95" s="114">
        <f>مفروضات!$C$3</f>
        <v>1402</v>
      </c>
      <c r="G95" s="680"/>
      <c r="H95" s="92">
        <f>مفروضات!$C$4</f>
        <v>1401</v>
      </c>
      <c r="I95" s="5"/>
      <c r="J95" s="5"/>
      <c r="N95" s="692">
        <v>7209951735</v>
      </c>
      <c r="O95" s="672"/>
      <c r="P95" s="692">
        <v>4431036307</v>
      </c>
    </row>
    <row r="96" spans="2:16" ht="21.75" thickBot="1">
      <c r="B96" s="689"/>
      <c r="C96" s="683" t="s">
        <v>254</v>
      </c>
      <c r="D96" s="689"/>
      <c r="E96" s="689"/>
      <c r="F96" s="304">
        <v>15580325472</v>
      </c>
      <c r="G96" s="304"/>
      <c r="H96" s="304">
        <v>10264994029</v>
      </c>
      <c r="I96" s="6"/>
      <c r="J96" s="6"/>
      <c r="N96" s="300">
        <f>SUM(N94:N95)</f>
        <v>591758856798</v>
      </c>
      <c r="O96" s="672"/>
      <c r="P96" s="300">
        <f>SUM(P94:P95)</f>
        <v>448630770761</v>
      </c>
    </row>
    <row r="97" spans="2:16" ht="21.75" thickTop="1">
      <c r="B97" s="702"/>
      <c r="C97" s="699"/>
      <c r="D97" s="702"/>
      <c r="E97" s="702"/>
      <c r="F97" s="304"/>
      <c r="G97" s="304"/>
      <c r="H97" s="304"/>
      <c r="I97" s="6"/>
      <c r="J97" s="6"/>
      <c r="N97" s="709"/>
      <c r="O97" s="672"/>
      <c r="P97" s="709"/>
    </row>
    <row r="98" spans="2:16" ht="20.25">
      <c r="B98" s="879" t="s">
        <v>1332</v>
      </c>
      <c r="C98" s="879"/>
      <c r="D98" s="879"/>
      <c r="E98" s="879"/>
      <c r="F98" s="879"/>
      <c r="G98" s="879"/>
      <c r="H98" s="879"/>
      <c r="I98" s="879"/>
      <c r="J98" s="879"/>
      <c r="K98" s="879"/>
      <c r="L98" s="879"/>
      <c r="M98" s="879"/>
      <c r="N98" s="879"/>
      <c r="O98" s="879"/>
      <c r="P98" s="879"/>
    </row>
    <row r="99" spans="2:16" ht="21">
      <c r="B99" s="702"/>
      <c r="C99" s="699"/>
      <c r="D99" s="702"/>
      <c r="E99" s="702"/>
      <c r="F99" s="304"/>
      <c r="G99" s="304"/>
      <c r="H99" s="304"/>
      <c r="I99" s="6"/>
      <c r="J99" s="6"/>
      <c r="N99" s="700">
        <v>1402</v>
      </c>
      <c r="O99" s="671"/>
      <c r="P99" s="700">
        <v>1401</v>
      </c>
    </row>
    <row r="100" spans="2:16" ht="21">
      <c r="B100" s="702"/>
      <c r="C100" s="699"/>
      <c r="D100" s="702"/>
      <c r="E100" s="702"/>
      <c r="F100" s="304"/>
      <c r="G100" s="304"/>
      <c r="H100" s="304"/>
      <c r="I100" s="6"/>
      <c r="J100" s="6"/>
      <c r="N100" s="58" t="s">
        <v>103</v>
      </c>
      <c r="O100" s="666"/>
      <c r="P100" s="58" t="s">
        <v>103</v>
      </c>
    </row>
    <row r="101" spans="2:16" ht="21">
      <c r="B101" s="702" t="s">
        <v>937</v>
      </c>
      <c r="C101" s="699"/>
      <c r="D101" s="702"/>
      <c r="E101" s="702"/>
      <c r="F101" s="304"/>
      <c r="G101" s="304"/>
      <c r="H101" s="304"/>
      <c r="I101" s="6"/>
      <c r="J101" s="6"/>
      <c r="N101" s="709">
        <v>4400000000</v>
      </c>
      <c r="O101" s="672"/>
      <c r="P101" s="710">
        <v>0</v>
      </c>
    </row>
    <row r="102" spans="2:16" ht="21">
      <c r="B102" s="702" t="s">
        <v>1334</v>
      </c>
      <c r="C102" s="699"/>
      <c r="D102" s="702"/>
      <c r="E102" s="702"/>
      <c r="F102" s="304"/>
      <c r="G102" s="304"/>
      <c r="H102" s="304"/>
      <c r="I102" s="6"/>
      <c r="J102" s="6"/>
      <c r="N102" s="710">
        <v>0</v>
      </c>
      <c r="O102" s="672"/>
      <c r="P102" s="301">
        <v>39067009851</v>
      </c>
    </row>
    <row r="103" spans="2:16" ht="21.75" thickBot="1">
      <c r="B103" s="702"/>
      <c r="C103" s="699"/>
      <c r="D103" s="702"/>
      <c r="E103" s="702"/>
      <c r="F103" s="304"/>
      <c r="G103" s="304"/>
      <c r="H103" s="304"/>
      <c r="I103" s="6"/>
      <c r="J103" s="6"/>
      <c r="N103" s="300">
        <f>N101</f>
        <v>4400000000</v>
      </c>
      <c r="O103" s="672"/>
      <c r="P103" s="300">
        <f>SUM(P101:P102)</f>
        <v>39067009851</v>
      </c>
    </row>
    <row r="104" spans="2:16" ht="21.75" thickTop="1">
      <c r="B104" s="702"/>
      <c r="C104" s="699"/>
      <c r="D104" s="702"/>
      <c r="E104" s="702"/>
      <c r="F104" s="304"/>
      <c r="G104" s="304"/>
      <c r="H104" s="304"/>
      <c r="I104" s="6"/>
      <c r="J104" s="6"/>
      <c r="N104" s="709"/>
      <c r="O104" s="672"/>
      <c r="P104" s="709"/>
    </row>
    <row r="105" spans="2:16" ht="20.25">
      <c r="B105" s="879" t="s">
        <v>1333</v>
      </c>
      <c r="C105" s="879"/>
      <c r="D105" s="879"/>
      <c r="E105" s="879"/>
      <c r="F105" s="879"/>
      <c r="G105" s="879"/>
      <c r="H105" s="879"/>
      <c r="I105" s="879"/>
      <c r="J105" s="879"/>
      <c r="K105" s="879"/>
      <c r="L105" s="879"/>
      <c r="M105" s="879"/>
      <c r="N105" s="879"/>
      <c r="O105" s="879"/>
      <c r="P105" s="879"/>
    </row>
    <row r="106" spans="2:16" ht="21">
      <c r="B106" s="701"/>
      <c r="C106" s="701"/>
      <c r="D106" s="701"/>
      <c r="E106" s="701"/>
      <c r="F106" s="701"/>
      <c r="G106" s="701"/>
      <c r="H106" s="701"/>
      <c r="I106" s="701"/>
      <c r="J106" s="701"/>
      <c r="K106" s="701"/>
      <c r="L106" s="701"/>
      <c r="M106" s="701"/>
      <c r="N106" s="700">
        <v>1402</v>
      </c>
      <c r="O106" s="671"/>
      <c r="P106" s="700">
        <v>1401</v>
      </c>
    </row>
    <row r="107" spans="2:16" ht="21">
      <c r="B107" s="701"/>
      <c r="C107" s="701"/>
      <c r="D107" s="701"/>
      <c r="E107" s="701"/>
      <c r="F107" s="701"/>
      <c r="G107" s="701"/>
      <c r="H107" s="701"/>
      <c r="I107" s="701"/>
      <c r="J107" s="701"/>
      <c r="K107" s="701"/>
      <c r="L107" s="701"/>
      <c r="M107" s="701"/>
      <c r="N107" s="58" t="s">
        <v>103</v>
      </c>
      <c r="O107" s="666"/>
      <c r="P107" s="58" t="s">
        <v>103</v>
      </c>
    </row>
    <row r="108" spans="2:16" ht="21">
      <c r="B108" s="702" t="s">
        <v>544</v>
      </c>
      <c r="C108" s="699"/>
      <c r="D108" s="702"/>
      <c r="E108" s="702"/>
      <c r="F108" s="304"/>
      <c r="G108" s="304"/>
      <c r="H108" s="304"/>
      <c r="I108" s="6"/>
      <c r="J108" s="6"/>
      <c r="N108" s="301">
        <v>25734151162</v>
      </c>
      <c r="O108" s="672"/>
      <c r="P108" s="302">
        <v>628719759</v>
      </c>
    </row>
    <row r="109" spans="2:16" ht="21">
      <c r="B109" s="702" t="s">
        <v>938</v>
      </c>
      <c r="C109" s="699"/>
      <c r="D109" s="702"/>
      <c r="E109" s="702"/>
      <c r="F109" s="304"/>
      <c r="G109" s="304"/>
      <c r="H109" s="304"/>
      <c r="I109" s="6"/>
      <c r="J109" s="6"/>
      <c r="N109" s="694">
        <v>0</v>
      </c>
      <c r="O109" s="672"/>
      <c r="P109" s="302">
        <v>31175321276</v>
      </c>
    </row>
    <row r="110" spans="2:16" ht="21">
      <c r="B110" s="702" t="s">
        <v>1335</v>
      </c>
      <c r="C110" s="699"/>
      <c r="D110" s="702"/>
      <c r="E110" s="702"/>
      <c r="F110" s="304"/>
      <c r="G110" s="304"/>
      <c r="H110" s="304"/>
      <c r="I110" s="6"/>
      <c r="J110" s="6"/>
      <c r="N110" s="301">
        <v>4091276278</v>
      </c>
      <c r="O110" s="672"/>
      <c r="P110" s="302">
        <v>5515781973</v>
      </c>
    </row>
    <row r="111" spans="2:16" ht="21.75" thickBot="1">
      <c r="B111" s="702"/>
      <c r="C111" s="699"/>
      <c r="D111" s="702"/>
      <c r="E111" s="702"/>
      <c r="F111" s="304"/>
      <c r="G111" s="304"/>
      <c r="H111" s="304"/>
      <c r="I111" s="6"/>
      <c r="J111" s="6"/>
      <c r="N111" s="300">
        <f>SUM(N108:N110)</f>
        <v>29825427440</v>
      </c>
      <c r="O111" s="672"/>
      <c r="P111" s="300">
        <f>SUM(P108:P110)</f>
        <v>37319823008</v>
      </c>
    </row>
    <row r="112" spans="2:16" ht="21.75" thickTop="1">
      <c r="B112" s="702"/>
      <c r="C112" s="699"/>
      <c r="D112" s="702"/>
      <c r="E112" s="702"/>
      <c r="F112" s="304"/>
      <c r="G112" s="304"/>
      <c r="H112" s="304"/>
      <c r="I112" s="6"/>
      <c r="J112" s="6"/>
      <c r="N112" s="709"/>
      <c r="O112" s="672"/>
      <c r="P112" s="709"/>
    </row>
  </sheetData>
  <mergeCells count="24">
    <mergeCell ref="B68:P68"/>
    <mergeCell ref="B98:P98"/>
    <mergeCell ref="B105:P105"/>
    <mergeCell ref="C94:D94"/>
    <mergeCell ref="B77:P77"/>
    <mergeCell ref="B91:P91"/>
    <mergeCell ref="A1:Q1"/>
    <mergeCell ref="A2:Q2"/>
    <mergeCell ref="A3:Q3"/>
    <mergeCell ref="B4:P4"/>
    <mergeCell ref="B12:P12"/>
    <mergeCell ref="B15:L15"/>
    <mergeCell ref="B16:L16"/>
    <mergeCell ref="B17:L17"/>
    <mergeCell ref="B18:L18"/>
    <mergeCell ref="B20:P20"/>
    <mergeCell ref="B24:L24"/>
    <mergeCell ref="B49:P49"/>
    <mergeCell ref="B50:P50"/>
    <mergeCell ref="B51:P51"/>
    <mergeCell ref="B21:P21"/>
    <mergeCell ref="B25:L25"/>
    <mergeCell ref="B28:P28"/>
    <mergeCell ref="B29:P29"/>
  </mergeCells>
  <pageMargins left="0.70866141732283505" right="0.70866141732283505" top="0.74803149606299202" bottom="0.74803149606299202" header="0.31496062992126" footer="0.31496062992126"/>
  <pageSetup scale="51" firstPageNumber="34" orientation="portrait" useFirstPageNumber="1" r:id="rId1"/>
  <headerFooter>
    <oddFooter>&amp;C&amp;"B Nazanin,Regular"&amp;14&amp;P</oddFooter>
  </headerFooter>
  <rowBreaks count="1" manualBreakCount="1">
    <brk id="48" max="1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rightToLeft="1" view="pageBreakPreview" topLeftCell="A51" zoomScaleNormal="130" zoomScaleSheetLayoutView="100" workbookViewId="0">
      <selection activeCell="B87" sqref="B87"/>
    </sheetView>
  </sheetViews>
  <sheetFormatPr defaultColWidth="9" defaultRowHeight="19.5"/>
  <cols>
    <col min="1" max="1" width="2.7109375" style="5" customWidth="1"/>
    <col min="2" max="2" width="49" style="19" customWidth="1"/>
    <col min="3" max="3" width="0.42578125" style="19" customWidth="1"/>
    <col min="4" max="4" width="10.5703125" style="19" hidden="1" customWidth="1"/>
    <col min="5" max="5" width="0.42578125" style="19" hidden="1" customWidth="1"/>
    <col min="6" max="6" width="11.140625" style="19" hidden="1" customWidth="1"/>
    <col min="7" max="7" width="0.5703125" style="19" hidden="1" customWidth="1"/>
    <col min="8" max="8" width="10.7109375" style="19" hidden="1" customWidth="1"/>
    <col min="9" max="9" width="0.5703125" style="19" hidden="1" customWidth="1"/>
    <col min="10" max="10" width="10.7109375" style="19" hidden="1" customWidth="1"/>
    <col min="11" max="11" width="0.7109375" style="19" customWidth="1"/>
    <col min="12" max="12" width="13.140625" style="5" customWidth="1"/>
    <col min="13" max="13" width="0.42578125" style="5" customWidth="1"/>
    <col min="14" max="14" width="18.28515625" style="14" customWidth="1"/>
    <col min="15" max="15" width="0.5703125" style="5" customWidth="1"/>
    <col min="16" max="16" width="22.42578125" style="15" customWidth="1"/>
    <col min="17" max="17" width="1" style="5" customWidth="1"/>
    <col min="18" max="18" width="3.140625" style="5" customWidth="1"/>
    <col min="19" max="19" width="28.140625" style="5" customWidth="1"/>
    <col min="20" max="20" width="17.140625" style="5" customWidth="1"/>
    <col min="21" max="16384" width="9" style="5"/>
  </cols>
  <sheetData>
    <row r="1" spans="1:22" ht="20.25">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4"/>
      <c r="S1" s="4"/>
      <c r="T1" s="4"/>
      <c r="U1" s="4"/>
    </row>
    <row r="2" spans="1:22" s="26" customFormat="1" ht="21">
      <c r="A2" s="767" t="s">
        <v>33</v>
      </c>
      <c r="B2" s="767"/>
      <c r="C2" s="767"/>
      <c r="D2" s="767"/>
      <c r="E2" s="767"/>
      <c r="F2" s="767"/>
      <c r="G2" s="767"/>
      <c r="H2" s="767"/>
      <c r="I2" s="767"/>
      <c r="J2" s="767"/>
      <c r="K2" s="767"/>
      <c r="L2" s="767"/>
      <c r="M2" s="767"/>
      <c r="N2" s="767"/>
      <c r="O2" s="767"/>
      <c r="P2" s="767"/>
      <c r="Q2" s="767"/>
      <c r="R2" s="27"/>
    </row>
    <row r="3" spans="1:22" s="1" customFormat="1" ht="21.75">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27"/>
      <c r="S3" s="26"/>
      <c r="T3" s="26"/>
      <c r="U3" s="26"/>
      <c r="V3" s="26"/>
    </row>
    <row r="4" spans="1:22" ht="6" customHeight="1">
      <c r="B4" s="8"/>
      <c r="C4" s="8"/>
      <c r="D4" s="8"/>
      <c r="E4" s="8"/>
      <c r="F4" s="8"/>
      <c r="G4" s="8"/>
      <c r="H4" s="8"/>
      <c r="I4" s="8"/>
      <c r="J4" s="8"/>
      <c r="K4" s="8"/>
      <c r="L4" s="9"/>
      <c r="M4" s="9"/>
      <c r="N4" s="9"/>
      <c r="O4" s="9"/>
      <c r="P4" s="10"/>
      <c r="Q4" s="9"/>
    </row>
    <row r="5" spans="1:22" ht="20.25" hidden="1">
      <c r="A5" s="6"/>
      <c r="B5" s="879" t="s">
        <v>634</v>
      </c>
      <c r="C5" s="879"/>
      <c r="D5" s="879"/>
      <c r="E5" s="879"/>
      <c r="F5" s="879"/>
      <c r="G5" s="879"/>
      <c r="H5" s="879"/>
      <c r="I5" s="879"/>
      <c r="J5" s="879"/>
      <c r="K5" s="879"/>
      <c r="L5" s="879"/>
      <c r="M5" s="879"/>
      <c r="N5" s="879"/>
      <c r="O5" s="879"/>
      <c r="P5" s="879"/>
      <c r="Q5" s="6"/>
      <c r="R5" s="6"/>
      <c r="S5" s="6"/>
      <c r="T5" s="6"/>
      <c r="U5" s="6"/>
    </row>
    <row r="6" spans="1:22" ht="21" hidden="1">
      <c r="B6" s="80"/>
      <c r="C6" s="80"/>
      <c r="E6" s="80"/>
      <c r="F6" s="876">
        <f>مفروضات!$C$3</f>
        <v>1402</v>
      </c>
      <c r="G6" s="876"/>
      <c r="H6" s="876"/>
      <c r="I6" s="876"/>
      <c r="J6" s="876"/>
      <c r="K6" s="80"/>
      <c r="L6" s="798">
        <f>مفروضات!$C$4</f>
        <v>1401</v>
      </c>
      <c r="M6" s="798"/>
      <c r="N6" s="798"/>
      <c r="O6" s="798"/>
      <c r="P6" s="798"/>
      <c r="Q6" s="18"/>
    </row>
    <row r="7" spans="1:22" ht="21" hidden="1">
      <c r="B7" s="80"/>
      <c r="C7" s="80"/>
      <c r="E7" s="80"/>
      <c r="F7" s="201" t="s">
        <v>58</v>
      </c>
      <c r="G7" s="201"/>
      <c r="H7" s="201" t="s">
        <v>51</v>
      </c>
      <c r="I7" s="201"/>
      <c r="J7" s="201" t="s">
        <v>24</v>
      </c>
      <c r="K7" s="80"/>
      <c r="L7" s="33" t="s">
        <v>58</v>
      </c>
      <c r="M7" s="33"/>
      <c r="N7" s="33" t="s">
        <v>51</v>
      </c>
      <c r="O7" s="33"/>
      <c r="P7" s="33" t="s">
        <v>24</v>
      </c>
      <c r="Q7" s="18"/>
    </row>
    <row r="8" spans="1:22" s="1" customFormat="1" ht="21" hidden="1">
      <c r="F8" s="58" t="s">
        <v>103</v>
      </c>
      <c r="H8" s="58" t="s">
        <v>103</v>
      </c>
      <c r="J8" s="58" t="s">
        <v>103</v>
      </c>
      <c r="L8" s="58" t="s">
        <v>103</v>
      </c>
      <c r="N8" s="58" t="s">
        <v>103</v>
      </c>
      <c r="P8" s="58" t="s">
        <v>103</v>
      </c>
    </row>
    <row r="9" spans="1:22" s="1" customFormat="1" ht="21" hidden="1">
      <c r="B9" s="3" t="s">
        <v>544</v>
      </c>
      <c r="C9" s="3"/>
      <c r="E9" s="3"/>
      <c r="F9" s="139">
        <v>0</v>
      </c>
      <c r="G9" s="53"/>
      <c r="H9" s="53">
        <v>0</v>
      </c>
      <c r="I9" s="53"/>
      <c r="J9" s="53">
        <v>0</v>
      </c>
      <c r="K9" s="53"/>
      <c r="L9" s="53">
        <v>0</v>
      </c>
      <c r="M9" s="53"/>
      <c r="N9" s="2">
        <v>0</v>
      </c>
      <c r="O9" s="2"/>
      <c r="P9" s="139">
        <v>0</v>
      </c>
    </row>
    <row r="10" spans="1:22" s="1" customFormat="1" ht="21" hidden="1">
      <c r="B10" s="3" t="s">
        <v>545</v>
      </c>
      <c r="C10" s="3"/>
      <c r="E10" s="3"/>
      <c r="F10" s="139">
        <v>0</v>
      </c>
      <c r="G10" s="53"/>
      <c r="H10" s="53">
        <v>0</v>
      </c>
      <c r="I10" s="53"/>
      <c r="J10" s="53">
        <v>0</v>
      </c>
      <c r="K10" s="53"/>
      <c r="L10" s="53">
        <v>0</v>
      </c>
      <c r="M10" s="53"/>
      <c r="N10" s="2">
        <v>0</v>
      </c>
      <c r="O10" s="2"/>
      <c r="P10" s="139">
        <v>0</v>
      </c>
    </row>
    <row r="11" spans="1:22" s="1" customFormat="1" ht="21" hidden="1">
      <c r="B11" s="3" t="s">
        <v>51</v>
      </c>
      <c r="C11" s="3"/>
      <c r="E11" s="3"/>
      <c r="F11" s="139">
        <v>0</v>
      </c>
      <c r="G11" s="53"/>
      <c r="H11" s="53">
        <v>0</v>
      </c>
      <c r="I11" s="53"/>
      <c r="J11" s="53">
        <v>0</v>
      </c>
      <c r="K11" s="53"/>
      <c r="L11" s="53">
        <v>0</v>
      </c>
      <c r="M11" s="53"/>
      <c r="N11" s="2">
        <v>0</v>
      </c>
      <c r="O11" s="2"/>
      <c r="P11" s="139">
        <v>0</v>
      </c>
    </row>
    <row r="12" spans="1:22" s="1" customFormat="1" ht="24.75" hidden="1">
      <c r="B12" s="147" t="s">
        <v>635</v>
      </c>
      <c r="C12" s="147"/>
      <c r="E12" s="147"/>
      <c r="F12" s="146" t="s">
        <v>455</v>
      </c>
      <c r="G12" s="141"/>
      <c r="H12" s="202" t="s">
        <v>455</v>
      </c>
      <c r="I12" s="141"/>
      <c r="J12" s="202" t="s">
        <v>455</v>
      </c>
      <c r="K12" s="141"/>
      <c r="L12" s="202" t="s">
        <v>455</v>
      </c>
      <c r="M12" s="53"/>
      <c r="N12" s="202" t="s">
        <v>455</v>
      </c>
      <c r="O12" s="2"/>
      <c r="P12" s="146" t="s">
        <v>455</v>
      </c>
    </row>
    <row r="13" spans="1:22" ht="21.75" hidden="1" thickBot="1">
      <c r="B13" s="77"/>
      <c r="C13" s="77"/>
      <c r="E13" s="77"/>
      <c r="F13" s="140">
        <f>SUM(F9:F12)</f>
        <v>0</v>
      </c>
      <c r="G13" s="80"/>
      <c r="H13" s="203">
        <f>SUM(H9:H12)</f>
        <v>0</v>
      </c>
      <c r="I13" s="80"/>
      <c r="J13" s="203">
        <f>SUM(J9:J12)</f>
        <v>0</v>
      </c>
      <c r="K13" s="80"/>
      <c r="L13" s="204">
        <f>SUM(L9:L12)</f>
        <v>0</v>
      </c>
      <c r="M13" s="15"/>
      <c r="N13" s="204">
        <f>SUM(N9:N12)</f>
        <v>0</v>
      </c>
      <c r="O13" s="2"/>
      <c r="P13" s="140">
        <f>SUM(P9:P12)</f>
        <v>0</v>
      </c>
    </row>
    <row r="14" spans="1:22" ht="21.75" hidden="1" thickTop="1">
      <c r="B14" s="813" t="s">
        <v>636</v>
      </c>
      <c r="C14" s="813"/>
      <c r="D14" s="813"/>
      <c r="E14" s="813"/>
      <c r="F14" s="813"/>
      <c r="G14" s="813"/>
      <c r="H14" s="813"/>
      <c r="I14" s="813"/>
      <c r="J14" s="813"/>
      <c r="K14" s="813"/>
      <c r="L14" s="813"/>
      <c r="M14" s="813"/>
      <c r="N14" s="813"/>
      <c r="O14" s="813"/>
      <c r="P14" s="813"/>
    </row>
    <row r="15" spans="1:22" ht="21">
      <c r="A15" s="6"/>
      <c r="B15" s="796" t="s">
        <v>1337</v>
      </c>
      <c r="C15" s="796"/>
      <c r="D15" s="796"/>
      <c r="E15" s="796"/>
      <c r="F15" s="796"/>
      <c r="G15" s="796"/>
      <c r="H15" s="796"/>
      <c r="I15" s="796"/>
      <c r="J15" s="796"/>
      <c r="K15" s="796"/>
      <c r="L15" s="796"/>
      <c r="M15" s="796"/>
      <c r="N15" s="796"/>
      <c r="O15" s="796"/>
      <c r="P15" s="796"/>
      <c r="Q15" s="6"/>
      <c r="R15" s="6"/>
      <c r="S15" s="6"/>
      <c r="T15" s="6"/>
      <c r="U15" s="6"/>
    </row>
    <row r="16" spans="1:22" ht="21">
      <c r="B16" s="130" t="s">
        <v>73</v>
      </c>
      <c r="C16" s="80"/>
      <c r="D16" s="201"/>
      <c r="E16" s="80"/>
      <c r="F16" s="207"/>
      <c r="G16" s="207"/>
      <c r="H16" s="207"/>
      <c r="I16" s="207"/>
      <c r="J16" s="207"/>
      <c r="K16" s="80"/>
      <c r="L16" s="119" t="s">
        <v>116</v>
      </c>
      <c r="M16" s="206"/>
      <c r="N16" s="119">
        <f>مفروضات!$C$3</f>
        <v>1402</v>
      </c>
      <c r="O16" s="31"/>
      <c r="P16" s="32">
        <f>مفروضات!$C$4</f>
        <v>1401</v>
      </c>
      <c r="Q16" s="18"/>
    </row>
    <row r="17" spans="1:21" ht="21">
      <c r="B17" s="80"/>
      <c r="C17" s="80"/>
      <c r="D17" s="35"/>
      <c r="E17" s="80"/>
      <c r="F17" s="201"/>
      <c r="G17" s="201"/>
      <c r="H17" s="201"/>
      <c r="I17" s="201"/>
      <c r="J17" s="201"/>
      <c r="K17" s="80"/>
      <c r="L17" s="35"/>
      <c r="M17" s="33"/>
      <c r="N17" s="58" t="s">
        <v>103</v>
      </c>
      <c r="O17" s="1"/>
      <c r="P17" s="58" t="s">
        <v>103</v>
      </c>
      <c r="Q17" s="18"/>
    </row>
    <row r="18" spans="1:21" s="1" customFormat="1" ht="21">
      <c r="B18" s="1" t="s">
        <v>546</v>
      </c>
      <c r="D18" s="2"/>
      <c r="F18" s="58"/>
      <c r="H18" s="58"/>
      <c r="J18" s="58"/>
      <c r="L18" s="2" t="s">
        <v>1338</v>
      </c>
      <c r="N18" s="314">
        <f>N28</f>
        <v>6911500000</v>
      </c>
      <c r="P18" s="314">
        <f>P28</f>
        <v>4952465561</v>
      </c>
    </row>
    <row r="19" spans="1:21" s="1" customFormat="1" ht="21">
      <c r="B19" s="3" t="s">
        <v>547</v>
      </c>
      <c r="C19" s="3"/>
      <c r="D19" s="2"/>
      <c r="E19" s="3"/>
      <c r="F19" s="139"/>
      <c r="G19" s="53"/>
      <c r="H19" s="53"/>
      <c r="I19" s="53"/>
      <c r="J19" s="53"/>
      <c r="K19" s="53"/>
      <c r="L19" s="2" t="s">
        <v>1339</v>
      </c>
      <c r="M19" s="53"/>
      <c r="N19" s="314">
        <f>N51</f>
        <v>214554237456</v>
      </c>
      <c r="P19" s="314">
        <f>P51</f>
        <v>184232110310</v>
      </c>
    </row>
    <row r="20" spans="1:21" s="1" customFormat="1" ht="21">
      <c r="B20" s="3" t="s">
        <v>548</v>
      </c>
      <c r="C20" s="3"/>
      <c r="D20" s="2"/>
      <c r="E20" s="3"/>
      <c r="F20" s="139"/>
      <c r="G20" s="53"/>
      <c r="H20" s="53"/>
      <c r="I20" s="53"/>
      <c r="J20" s="53"/>
      <c r="K20" s="53"/>
      <c r="L20" s="2" t="s">
        <v>1340</v>
      </c>
      <c r="M20" s="53"/>
      <c r="N20" s="314">
        <f>N83</f>
        <v>67347566290</v>
      </c>
      <c r="P20" s="314">
        <f>P83</f>
        <v>128351165557</v>
      </c>
    </row>
    <row r="21" spans="1:21" s="1" customFormat="1" ht="21.75" thickBot="1">
      <c r="B21" s="3"/>
      <c r="C21" s="3"/>
      <c r="E21" s="3"/>
      <c r="F21" s="139"/>
      <c r="G21" s="53"/>
      <c r="H21" s="53"/>
      <c r="I21" s="53"/>
      <c r="J21" s="53"/>
      <c r="K21" s="53"/>
      <c r="L21" s="53"/>
      <c r="M21" s="53"/>
      <c r="N21" s="316">
        <f>SUM(N18:N20)</f>
        <v>288813303746</v>
      </c>
      <c r="P21" s="316">
        <f>SUM(P18:P20)</f>
        <v>317535741428</v>
      </c>
    </row>
    <row r="22" spans="1:21" ht="21.75" thickTop="1">
      <c r="A22" s="6"/>
      <c r="B22" s="796" t="s">
        <v>1341</v>
      </c>
      <c r="C22" s="796"/>
      <c r="D22" s="796"/>
      <c r="E22" s="796"/>
      <c r="F22" s="796"/>
      <c r="G22" s="796"/>
      <c r="H22" s="796"/>
      <c r="I22" s="796"/>
      <c r="J22" s="796"/>
      <c r="K22" s="796"/>
      <c r="L22" s="796"/>
      <c r="M22" s="796"/>
      <c r="N22" s="796"/>
      <c r="O22" s="796"/>
      <c r="P22" s="796"/>
      <c r="Q22" s="6"/>
      <c r="R22" s="6"/>
      <c r="S22" s="6"/>
      <c r="T22" s="6"/>
      <c r="U22" s="6"/>
    </row>
    <row r="23" spans="1:21" ht="21">
      <c r="B23" s="130" t="s">
        <v>549</v>
      </c>
      <c r="C23" s="80"/>
      <c r="D23" s="35"/>
      <c r="E23" s="80"/>
      <c r="F23" s="207"/>
      <c r="G23" s="207"/>
      <c r="H23" s="207"/>
      <c r="I23" s="207"/>
      <c r="J23" s="207"/>
      <c r="K23" s="80"/>
      <c r="L23" s="206"/>
      <c r="M23" s="206"/>
      <c r="N23" s="119">
        <f>مفروضات!$C$3</f>
        <v>1402</v>
      </c>
      <c r="O23" s="31"/>
      <c r="P23" s="32">
        <f>مفروضات!$C$4</f>
        <v>1401</v>
      </c>
      <c r="Q23" s="18"/>
    </row>
    <row r="24" spans="1:21" ht="21">
      <c r="B24" s="80"/>
      <c r="C24" s="80"/>
      <c r="D24" s="35"/>
      <c r="E24" s="80"/>
      <c r="F24" s="201"/>
      <c r="G24" s="201"/>
      <c r="H24" s="201"/>
      <c r="I24" s="201"/>
      <c r="J24" s="201"/>
      <c r="K24" s="80"/>
      <c r="L24" s="33"/>
      <c r="M24" s="33"/>
      <c r="N24" s="58" t="s">
        <v>103</v>
      </c>
      <c r="O24" s="1"/>
      <c r="P24" s="58" t="s">
        <v>103</v>
      </c>
      <c r="Q24" s="18"/>
    </row>
    <row r="25" spans="1:21" s="1" customFormat="1" ht="21">
      <c r="B25" s="3" t="s">
        <v>775</v>
      </c>
      <c r="F25" s="58"/>
      <c r="H25" s="58"/>
      <c r="J25" s="58"/>
      <c r="L25" s="58"/>
      <c r="N25" s="139">
        <v>0</v>
      </c>
      <c r="P25" s="314">
        <v>120000000</v>
      </c>
    </row>
    <row r="26" spans="1:21" s="1" customFormat="1" ht="21">
      <c r="B26" s="3" t="s">
        <v>749</v>
      </c>
      <c r="C26" s="3"/>
      <c r="E26" s="3"/>
      <c r="F26" s="139"/>
      <c r="G26" s="53"/>
      <c r="H26" s="53"/>
      <c r="I26" s="53"/>
      <c r="J26" s="53"/>
      <c r="K26" s="53"/>
      <c r="L26" s="53"/>
      <c r="M26" s="53"/>
      <c r="N26" s="314">
        <v>5000000000</v>
      </c>
      <c r="P26" s="139">
        <v>0</v>
      </c>
    </row>
    <row r="27" spans="1:21" s="1" customFormat="1" ht="21">
      <c r="B27" s="1" t="s">
        <v>778</v>
      </c>
      <c r="F27" s="58"/>
      <c r="H27" s="58"/>
      <c r="J27" s="58"/>
      <c r="L27" s="58"/>
      <c r="N27" s="314">
        <v>1911500000</v>
      </c>
      <c r="P27" s="314">
        <v>4832465561</v>
      </c>
    </row>
    <row r="28" spans="1:21" s="1" customFormat="1" ht="21.75" thickBot="1">
      <c r="B28" s="3"/>
      <c r="C28" s="3"/>
      <c r="E28" s="3"/>
      <c r="F28" s="139"/>
      <c r="G28" s="53"/>
      <c r="H28" s="53"/>
      <c r="I28" s="53"/>
      <c r="J28" s="53"/>
      <c r="K28" s="53"/>
      <c r="L28" s="53"/>
      <c r="M28" s="53"/>
      <c r="N28" s="316">
        <f>SUM(N25:N27)</f>
        <v>6911500000</v>
      </c>
      <c r="P28" s="316">
        <f>SUM(P25:P27)</f>
        <v>4952465561</v>
      </c>
    </row>
    <row r="29" spans="1:21" ht="21.75" thickTop="1">
      <c r="A29" s="6"/>
      <c r="B29" s="796" t="s">
        <v>1342</v>
      </c>
      <c r="C29" s="796"/>
      <c r="D29" s="796"/>
      <c r="E29" s="796"/>
      <c r="F29" s="796"/>
      <c r="G29" s="796"/>
      <c r="H29" s="796"/>
      <c r="I29" s="796"/>
      <c r="J29" s="796"/>
      <c r="K29" s="796"/>
      <c r="L29" s="796"/>
      <c r="M29" s="796"/>
      <c r="N29" s="796"/>
      <c r="O29" s="796"/>
      <c r="P29" s="796"/>
      <c r="Q29" s="6"/>
      <c r="R29" s="6"/>
      <c r="S29" s="6"/>
      <c r="T29" s="6"/>
      <c r="U29" s="6"/>
    </row>
    <row r="30" spans="1:21" ht="21">
      <c r="B30" s="130" t="s">
        <v>549</v>
      </c>
      <c r="C30" s="80"/>
      <c r="D30" s="35"/>
      <c r="E30" s="80"/>
      <c r="F30" s="207"/>
      <c r="G30" s="207"/>
      <c r="H30" s="207"/>
      <c r="I30" s="207"/>
      <c r="J30" s="207"/>
      <c r="K30" s="80"/>
      <c r="L30" s="206"/>
      <c r="M30" s="206"/>
      <c r="N30" s="119">
        <f>مفروضات!$C$3</f>
        <v>1402</v>
      </c>
      <c r="O30" s="31"/>
      <c r="P30" s="32">
        <f>مفروضات!$C$4</f>
        <v>1401</v>
      </c>
      <c r="Q30" s="18"/>
    </row>
    <row r="31" spans="1:21" ht="21">
      <c r="B31" s="80"/>
      <c r="C31" s="80"/>
      <c r="D31" s="35"/>
      <c r="E31" s="80"/>
      <c r="F31" s="201"/>
      <c r="G31" s="201"/>
      <c r="H31" s="201"/>
      <c r="I31" s="201"/>
      <c r="J31" s="201"/>
      <c r="K31" s="80"/>
      <c r="L31" s="33"/>
      <c r="M31" s="33"/>
      <c r="N31" s="58" t="s">
        <v>103</v>
      </c>
      <c r="O31" s="1"/>
      <c r="P31" s="58" t="s">
        <v>103</v>
      </c>
      <c r="Q31" s="18"/>
    </row>
    <row r="32" spans="1:21" s="1" customFormat="1" ht="21">
      <c r="B32" s="1" t="s">
        <v>752</v>
      </c>
      <c r="F32" s="58"/>
      <c r="H32" s="58"/>
      <c r="J32" s="58"/>
      <c r="L32" s="58"/>
      <c r="N32" s="314">
        <v>1000000000</v>
      </c>
      <c r="P32" s="139">
        <v>0</v>
      </c>
    </row>
    <row r="33" spans="2:16" s="1" customFormat="1" ht="21">
      <c r="B33" s="3" t="s">
        <v>751</v>
      </c>
      <c r="C33" s="3"/>
      <c r="E33" s="3"/>
      <c r="F33" s="139"/>
      <c r="G33" s="53"/>
      <c r="H33" s="53"/>
      <c r="I33" s="53"/>
      <c r="J33" s="53"/>
      <c r="K33" s="53"/>
      <c r="L33" s="53"/>
      <c r="M33" s="53"/>
      <c r="N33" s="314">
        <v>972010000</v>
      </c>
      <c r="P33" s="139">
        <v>0</v>
      </c>
    </row>
    <row r="34" spans="2:16" s="1" customFormat="1" ht="21">
      <c r="B34" s="3" t="s">
        <v>771</v>
      </c>
      <c r="C34" s="3"/>
      <c r="E34" s="3"/>
      <c r="F34" s="139"/>
      <c r="G34" s="53"/>
      <c r="H34" s="53"/>
      <c r="I34" s="53"/>
      <c r="J34" s="53"/>
      <c r="K34" s="53"/>
      <c r="L34" s="53"/>
      <c r="M34" s="53"/>
      <c r="N34" s="314">
        <v>820000000</v>
      </c>
      <c r="P34" s="139">
        <v>0</v>
      </c>
    </row>
    <row r="35" spans="2:16" s="1" customFormat="1" ht="21">
      <c r="B35" s="3" t="s">
        <v>772</v>
      </c>
      <c r="C35" s="3"/>
      <c r="E35" s="3"/>
      <c r="F35" s="139"/>
      <c r="G35" s="53"/>
      <c r="H35" s="53"/>
      <c r="I35" s="53"/>
      <c r="J35" s="53"/>
      <c r="K35" s="53"/>
      <c r="L35" s="53"/>
      <c r="M35" s="53"/>
      <c r="N35" s="314">
        <v>1040597700</v>
      </c>
      <c r="P35" s="139">
        <v>0</v>
      </c>
    </row>
    <row r="36" spans="2:16" s="1" customFormat="1" ht="21">
      <c r="B36" s="3" t="s">
        <v>770</v>
      </c>
      <c r="C36" s="3"/>
      <c r="E36" s="3"/>
      <c r="F36" s="139"/>
      <c r="G36" s="53"/>
      <c r="H36" s="53"/>
      <c r="I36" s="53"/>
      <c r="J36" s="53"/>
      <c r="K36" s="53"/>
      <c r="L36" s="53"/>
      <c r="M36" s="53"/>
      <c r="N36" s="314">
        <v>1475000000</v>
      </c>
      <c r="P36" s="139">
        <v>0</v>
      </c>
    </row>
    <row r="37" spans="2:16" s="1" customFormat="1" ht="21">
      <c r="B37" s="3" t="s">
        <v>773</v>
      </c>
      <c r="C37" s="3"/>
      <c r="E37" s="3"/>
      <c r="F37" s="139"/>
      <c r="G37" s="53"/>
      <c r="H37" s="53"/>
      <c r="I37" s="53"/>
      <c r="J37" s="53"/>
      <c r="K37" s="53"/>
      <c r="L37" s="53"/>
      <c r="M37" s="53"/>
      <c r="N37" s="314">
        <v>1560000000</v>
      </c>
      <c r="P37" s="139">
        <v>0</v>
      </c>
    </row>
    <row r="38" spans="2:16" s="1" customFormat="1" ht="21">
      <c r="B38" s="3" t="s">
        <v>774</v>
      </c>
      <c r="C38" s="3"/>
      <c r="E38" s="3"/>
      <c r="F38" s="139"/>
      <c r="G38" s="53"/>
      <c r="H38" s="53"/>
      <c r="I38" s="53"/>
      <c r="J38" s="53"/>
      <c r="K38" s="53"/>
      <c r="L38" s="53"/>
      <c r="M38" s="53"/>
      <c r="N38" s="314">
        <v>163500000</v>
      </c>
      <c r="P38" s="139">
        <v>0</v>
      </c>
    </row>
    <row r="39" spans="2:16" s="1" customFormat="1" ht="21">
      <c r="B39" s="3" t="s">
        <v>775</v>
      </c>
      <c r="C39" s="3"/>
      <c r="E39" s="3"/>
      <c r="F39" s="139"/>
      <c r="G39" s="53"/>
      <c r="H39" s="53"/>
      <c r="I39" s="53"/>
      <c r="J39" s="53"/>
      <c r="K39" s="53"/>
      <c r="L39" s="53"/>
      <c r="M39" s="53"/>
      <c r="N39" s="314">
        <v>6173880000</v>
      </c>
      <c r="P39" s="314">
        <v>60002252680</v>
      </c>
    </row>
    <row r="40" spans="2:16" s="1" customFormat="1" ht="21">
      <c r="B40" s="3" t="s">
        <v>776</v>
      </c>
      <c r="C40" s="3"/>
      <c r="E40" s="3"/>
      <c r="F40" s="139"/>
      <c r="G40" s="53"/>
      <c r="H40" s="53"/>
      <c r="I40" s="53"/>
      <c r="J40" s="53"/>
      <c r="K40" s="53"/>
      <c r="L40" s="53"/>
      <c r="M40" s="53"/>
      <c r="N40" s="314">
        <v>1240678880</v>
      </c>
      <c r="P40" s="314">
        <v>1442902640</v>
      </c>
    </row>
    <row r="41" spans="2:16" s="1" customFormat="1" ht="21">
      <c r="B41" s="3" t="s">
        <v>783</v>
      </c>
      <c r="C41" s="3"/>
      <c r="E41" s="3"/>
      <c r="F41" s="139"/>
      <c r="G41" s="53"/>
      <c r="H41" s="53"/>
      <c r="I41" s="53"/>
      <c r="J41" s="53"/>
      <c r="K41" s="53"/>
      <c r="L41" s="53"/>
      <c r="M41" s="53"/>
      <c r="N41" s="139">
        <v>0</v>
      </c>
      <c r="P41" s="314">
        <v>502217500</v>
      </c>
    </row>
    <row r="42" spans="2:16" s="1" customFormat="1" ht="21">
      <c r="B42" s="3" t="s">
        <v>784</v>
      </c>
      <c r="C42" s="3"/>
      <c r="E42" s="3"/>
      <c r="F42" s="139"/>
      <c r="G42" s="53"/>
      <c r="H42" s="53"/>
      <c r="I42" s="53"/>
      <c r="J42" s="53"/>
      <c r="K42" s="53"/>
      <c r="L42" s="53"/>
      <c r="M42" s="53"/>
      <c r="N42" s="139">
        <v>0</v>
      </c>
      <c r="P42" s="314">
        <v>115200000</v>
      </c>
    </row>
    <row r="43" spans="2:16" s="1" customFormat="1" ht="21">
      <c r="B43" s="3" t="s">
        <v>785</v>
      </c>
      <c r="C43" s="3"/>
      <c r="E43" s="3"/>
      <c r="F43" s="139"/>
      <c r="G43" s="53"/>
      <c r="H43" s="53"/>
      <c r="I43" s="53"/>
      <c r="J43" s="53"/>
      <c r="K43" s="53"/>
      <c r="L43" s="53"/>
      <c r="M43" s="53"/>
      <c r="N43" s="139">
        <v>0</v>
      </c>
      <c r="P43" s="314">
        <v>1413948000</v>
      </c>
    </row>
    <row r="44" spans="2:16" s="1" customFormat="1" ht="21">
      <c r="B44" s="3" t="s">
        <v>786</v>
      </c>
      <c r="C44" s="3"/>
      <c r="E44" s="3"/>
      <c r="F44" s="139"/>
      <c r="G44" s="53"/>
      <c r="H44" s="53"/>
      <c r="I44" s="53"/>
      <c r="J44" s="53"/>
      <c r="K44" s="53"/>
      <c r="L44" s="53"/>
      <c r="M44" s="53"/>
      <c r="N44" s="139">
        <v>0</v>
      </c>
      <c r="P44" s="314">
        <v>1275999999</v>
      </c>
    </row>
    <row r="45" spans="2:16" s="1" customFormat="1" ht="21">
      <c r="B45" s="3" t="s">
        <v>787</v>
      </c>
      <c r="C45" s="3"/>
      <c r="E45" s="3"/>
      <c r="F45" s="139"/>
      <c r="G45" s="53"/>
      <c r="H45" s="53"/>
      <c r="I45" s="53"/>
      <c r="J45" s="53"/>
      <c r="K45" s="53"/>
      <c r="L45" s="53"/>
      <c r="M45" s="53"/>
      <c r="N45" s="139">
        <v>0</v>
      </c>
      <c r="P45" s="314">
        <v>5000000000</v>
      </c>
    </row>
    <row r="46" spans="2:16" s="1" customFormat="1" ht="21">
      <c r="B46" s="3" t="s">
        <v>788</v>
      </c>
      <c r="C46" s="3"/>
      <c r="E46" s="3"/>
      <c r="F46" s="139"/>
      <c r="G46" s="53"/>
      <c r="H46" s="53"/>
      <c r="I46" s="53"/>
      <c r="J46" s="53"/>
      <c r="K46" s="53"/>
      <c r="L46" s="53"/>
      <c r="M46" s="53"/>
      <c r="N46" s="139">
        <v>0</v>
      </c>
      <c r="P46" s="314">
        <v>1375580000</v>
      </c>
    </row>
    <row r="47" spans="2:16" s="1" customFormat="1" ht="21">
      <c r="B47" s="3" t="s">
        <v>777</v>
      </c>
      <c r="C47" s="3"/>
      <c r="E47" s="3"/>
      <c r="F47" s="139"/>
      <c r="G47" s="53"/>
      <c r="H47" s="53"/>
      <c r="I47" s="53"/>
      <c r="J47" s="53"/>
      <c r="K47" s="53"/>
      <c r="L47" s="53"/>
      <c r="M47" s="53"/>
      <c r="N47" s="314">
        <v>2126050860</v>
      </c>
      <c r="P47" s="139">
        <v>0</v>
      </c>
    </row>
    <row r="48" spans="2:16" s="1" customFormat="1" ht="21">
      <c r="B48" s="3" t="s">
        <v>750</v>
      </c>
      <c r="C48" s="3"/>
      <c r="E48" s="3"/>
      <c r="F48" s="139"/>
      <c r="G48" s="53"/>
      <c r="H48" s="53"/>
      <c r="I48" s="53"/>
      <c r="J48" s="53"/>
      <c r="K48" s="53"/>
      <c r="L48" s="53"/>
      <c r="M48" s="53"/>
      <c r="N48" s="314">
        <v>141565409280</v>
      </c>
      <c r="P48" s="314">
        <v>83199007000</v>
      </c>
    </row>
    <row r="49" spans="1:21" s="1" customFormat="1" ht="21">
      <c r="B49" s="3" t="s">
        <v>769</v>
      </c>
      <c r="C49" s="3"/>
      <c r="E49" s="3"/>
      <c r="F49" s="139"/>
      <c r="G49" s="53"/>
      <c r="H49" s="53"/>
      <c r="I49" s="53"/>
      <c r="J49" s="53"/>
      <c r="K49" s="53"/>
      <c r="L49" s="53"/>
      <c r="M49" s="53"/>
      <c r="N49" s="314">
        <v>20750000000</v>
      </c>
      <c r="P49" s="314">
        <v>2030500000</v>
      </c>
    </row>
    <row r="50" spans="1:21" s="1" customFormat="1" ht="21">
      <c r="B50" s="3" t="s">
        <v>778</v>
      </c>
      <c r="C50" s="3"/>
      <c r="E50" s="3"/>
      <c r="F50" s="139"/>
      <c r="G50" s="53"/>
      <c r="H50" s="53"/>
      <c r="I50" s="53"/>
      <c r="J50" s="53"/>
      <c r="K50" s="53"/>
      <c r="L50" s="53"/>
      <c r="M50" s="53"/>
      <c r="N50" s="314">
        <v>35667110736</v>
      </c>
      <c r="P50" s="314">
        <v>27874502491</v>
      </c>
    </row>
    <row r="51" spans="1:21" s="1" customFormat="1" ht="21.75" thickBot="1">
      <c r="B51" s="3"/>
      <c r="C51" s="3"/>
      <c r="E51" s="3"/>
      <c r="F51" s="139"/>
      <c r="G51" s="53"/>
      <c r="H51" s="53"/>
      <c r="I51" s="53"/>
      <c r="J51" s="53"/>
      <c r="K51" s="53"/>
      <c r="L51" s="53"/>
      <c r="M51" s="53"/>
      <c r="N51" s="316">
        <f>SUM(N32:N50)</f>
        <v>214554237456</v>
      </c>
      <c r="P51" s="316">
        <f>SUM(P32:P50)</f>
        <v>184232110310</v>
      </c>
    </row>
    <row r="52" spans="1:21" ht="21.75" customHeight="1" thickTop="1">
      <c r="B52" s="887" t="s">
        <v>1343</v>
      </c>
      <c r="C52" s="887"/>
      <c r="D52" s="887"/>
      <c r="E52" s="887"/>
      <c r="F52" s="887"/>
      <c r="G52" s="887"/>
      <c r="H52" s="887"/>
      <c r="I52" s="887"/>
      <c r="J52" s="887"/>
      <c r="K52" s="887"/>
      <c r="L52" s="887"/>
      <c r="M52" s="887"/>
      <c r="N52" s="887"/>
      <c r="O52" s="887"/>
      <c r="P52" s="887"/>
    </row>
    <row r="53" spans="1:21" ht="20.25" customHeight="1">
      <c r="A53" s="6"/>
      <c r="B53" s="35"/>
      <c r="C53" s="35"/>
      <c r="D53" s="35"/>
      <c r="E53" s="35"/>
      <c r="F53" s="35"/>
      <c r="G53" s="35"/>
      <c r="H53" s="35"/>
      <c r="I53" s="35"/>
      <c r="J53" s="35"/>
      <c r="K53" s="35"/>
      <c r="L53" s="1"/>
      <c r="M53" s="1"/>
      <c r="N53" s="31"/>
      <c r="O53" s="1"/>
      <c r="P53" s="2"/>
      <c r="Q53" s="6"/>
      <c r="R53" s="6"/>
      <c r="S53" s="6"/>
      <c r="T53" s="6"/>
      <c r="U53" s="6"/>
    </row>
    <row r="54" spans="1:21" ht="21">
      <c r="A54" s="6"/>
      <c r="B54" s="886" t="s">
        <v>649</v>
      </c>
      <c r="C54" s="886"/>
      <c r="D54" s="886"/>
      <c r="E54" s="886"/>
      <c r="F54" s="886"/>
      <c r="G54" s="886"/>
      <c r="H54" s="886"/>
      <c r="I54" s="886"/>
      <c r="J54" s="886"/>
      <c r="K54" s="886"/>
      <c r="L54" s="886"/>
      <c r="M54" s="886"/>
      <c r="N54" s="886"/>
      <c r="O54" s="886"/>
      <c r="P54" s="886"/>
      <c r="Q54" s="6"/>
      <c r="R54" s="6"/>
      <c r="S54" s="6"/>
      <c r="T54" s="6"/>
      <c r="U54" s="6"/>
    </row>
    <row r="55" spans="1:21" ht="21">
      <c r="A55" s="6"/>
      <c r="B55" s="886" t="s">
        <v>33</v>
      </c>
      <c r="C55" s="886"/>
      <c r="D55" s="886"/>
      <c r="E55" s="886"/>
      <c r="F55" s="886"/>
      <c r="G55" s="886"/>
      <c r="H55" s="886"/>
      <c r="I55" s="886"/>
      <c r="J55" s="886"/>
      <c r="K55" s="886"/>
      <c r="L55" s="886"/>
      <c r="M55" s="886"/>
      <c r="N55" s="886"/>
      <c r="O55" s="886"/>
      <c r="P55" s="886"/>
      <c r="Q55" s="6"/>
      <c r="R55" s="6"/>
      <c r="S55" s="6"/>
      <c r="T55" s="6"/>
      <c r="U55" s="6"/>
    </row>
    <row r="56" spans="1:21" ht="21">
      <c r="A56" s="6"/>
      <c r="B56" s="886" t="s">
        <v>465</v>
      </c>
      <c r="C56" s="886"/>
      <c r="D56" s="886"/>
      <c r="E56" s="886"/>
      <c r="F56" s="886"/>
      <c r="G56" s="886"/>
      <c r="H56" s="886"/>
      <c r="I56" s="886"/>
      <c r="J56" s="886"/>
      <c r="K56" s="886"/>
      <c r="L56" s="886"/>
      <c r="M56" s="886"/>
      <c r="N56" s="886"/>
      <c r="O56" s="886"/>
      <c r="P56" s="886"/>
      <c r="Q56" s="6"/>
      <c r="R56" s="6"/>
      <c r="S56" s="6"/>
      <c r="T56" s="6"/>
      <c r="U56" s="6"/>
    </row>
    <row r="57" spans="1:21" ht="21">
      <c r="A57" s="6"/>
      <c r="B57" s="796" t="s">
        <v>1344</v>
      </c>
      <c r="C57" s="796"/>
      <c r="D57" s="796"/>
      <c r="E57" s="796"/>
      <c r="F57" s="796"/>
      <c r="G57" s="796"/>
      <c r="H57" s="796"/>
      <c r="I57" s="796"/>
      <c r="J57" s="796"/>
      <c r="K57" s="796"/>
      <c r="L57" s="796"/>
      <c r="M57" s="796"/>
      <c r="N57" s="796"/>
      <c r="O57" s="796"/>
      <c r="P57" s="796"/>
      <c r="Q57" s="6"/>
      <c r="R57" s="6"/>
      <c r="S57" s="6"/>
      <c r="T57" s="6"/>
      <c r="U57" s="6"/>
    </row>
    <row r="58" spans="1:21" ht="21">
      <c r="B58" s="130" t="s">
        <v>549</v>
      </c>
      <c r="C58" s="80"/>
      <c r="D58" s="35"/>
      <c r="E58" s="80"/>
      <c r="F58" s="207"/>
      <c r="G58" s="207"/>
      <c r="H58" s="207"/>
      <c r="I58" s="207"/>
      <c r="J58" s="207"/>
      <c r="K58" s="80"/>
      <c r="L58" s="206"/>
      <c r="M58" s="206"/>
      <c r="N58" s="119">
        <f>مفروضات!$C$3</f>
        <v>1402</v>
      </c>
      <c r="O58" s="31"/>
      <c r="P58" s="32">
        <f>مفروضات!$C$4</f>
        <v>1401</v>
      </c>
      <c r="Q58" s="18"/>
    </row>
    <row r="59" spans="1:21" ht="21">
      <c r="B59" s="80"/>
      <c r="C59" s="80"/>
      <c r="D59" s="35"/>
      <c r="E59" s="80"/>
      <c r="F59" s="201"/>
      <c r="G59" s="201"/>
      <c r="H59" s="201"/>
      <c r="I59" s="201"/>
      <c r="J59" s="201"/>
      <c r="K59" s="80"/>
      <c r="L59" s="33"/>
      <c r="M59" s="33"/>
      <c r="N59" s="58" t="s">
        <v>103</v>
      </c>
      <c r="O59" s="1"/>
      <c r="P59" s="58" t="s">
        <v>103</v>
      </c>
      <c r="Q59" s="18"/>
    </row>
    <row r="60" spans="1:21" s="1" customFormat="1" ht="21">
      <c r="B60" s="3" t="s">
        <v>753</v>
      </c>
      <c r="F60" s="58"/>
      <c r="H60" s="58"/>
      <c r="J60" s="58"/>
      <c r="L60" s="58"/>
      <c r="N60" s="314">
        <v>1379352000</v>
      </c>
      <c r="P60" s="139">
        <v>0</v>
      </c>
    </row>
    <row r="61" spans="1:21" s="1" customFormat="1" ht="21">
      <c r="B61" s="3" t="s">
        <v>754</v>
      </c>
      <c r="F61" s="58"/>
      <c r="H61" s="58"/>
      <c r="J61" s="58"/>
      <c r="L61" s="58"/>
      <c r="N61" s="314">
        <v>513993600</v>
      </c>
      <c r="P61" s="139">
        <v>0</v>
      </c>
    </row>
    <row r="62" spans="1:21" s="1" customFormat="1" ht="21">
      <c r="B62" s="3" t="s">
        <v>755</v>
      </c>
      <c r="F62" s="58"/>
      <c r="H62" s="58"/>
      <c r="J62" s="58"/>
      <c r="L62" s="58"/>
      <c r="N62" s="314">
        <v>1072582919</v>
      </c>
      <c r="P62" s="139">
        <v>0</v>
      </c>
    </row>
    <row r="63" spans="1:21" s="1" customFormat="1" ht="21">
      <c r="B63" s="3" t="s">
        <v>756</v>
      </c>
      <c r="F63" s="58"/>
      <c r="H63" s="58"/>
      <c r="J63" s="58"/>
      <c r="L63" s="58"/>
      <c r="N63" s="314">
        <v>756000000</v>
      </c>
      <c r="P63" s="314">
        <v>7356384000</v>
      </c>
    </row>
    <row r="64" spans="1:21" s="1" customFormat="1" ht="21">
      <c r="B64" s="3" t="s">
        <v>757</v>
      </c>
      <c r="F64" s="58"/>
      <c r="H64" s="58"/>
      <c r="J64" s="58"/>
      <c r="L64" s="58"/>
      <c r="N64" s="314">
        <v>1395163114</v>
      </c>
      <c r="P64" s="314">
        <v>2352352855</v>
      </c>
    </row>
    <row r="65" spans="2:16" s="1" customFormat="1" ht="21">
      <c r="B65" s="3" t="s">
        <v>758</v>
      </c>
      <c r="F65" s="58"/>
      <c r="H65" s="58"/>
      <c r="J65" s="58"/>
      <c r="L65" s="58"/>
      <c r="N65" s="314">
        <v>529405327</v>
      </c>
      <c r="P65" s="314">
        <v>1139598241</v>
      </c>
    </row>
    <row r="66" spans="2:16" s="1" customFormat="1" ht="21">
      <c r="B66" s="3" t="s">
        <v>759</v>
      </c>
      <c r="F66" s="58"/>
      <c r="H66" s="58"/>
      <c r="J66" s="58"/>
      <c r="L66" s="58"/>
      <c r="N66" s="314">
        <v>262082520</v>
      </c>
      <c r="P66" s="139">
        <v>0</v>
      </c>
    </row>
    <row r="67" spans="2:16" s="1" customFormat="1" ht="21">
      <c r="B67" s="3" t="s">
        <v>760</v>
      </c>
      <c r="F67" s="58"/>
      <c r="H67" s="58"/>
      <c r="J67" s="58"/>
      <c r="L67" s="58"/>
      <c r="N67" s="314">
        <v>1458388412</v>
      </c>
      <c r="P67" s="314">
        <v>706528000</v>
      </c>
    </row>
    <row r="68" spans="2:16" s="1" customFormat="1" ht="21">
      <c r="B68" s="3" t="s">
        <v>770</v>
      </c>
      <c r="F68" s="58"/>
      <c r="H68" s="58"/>
      <c r="J68" s="58"/>
      <c r="L68" s="58"/>
      <c r="N68" s="314">
        <v>1260300000</v>
      </c>
      <c r="P68" s="314">
        <v>3034572692</v>
      </c>
    </row>
    <row r="69" spans="2:16" s="1" customFormat="1" ht="21">
      <c r="B69" s="3" t="s">
        <v>761</v>
      </c>
      <c r="F69" s="58"/>
      <c r="H69" s="58"/>
      <c r="J69" s="58"/>
      <c r="L69" s="58"/>
      <c r="N69" s="314">
        <v>88480000</v>
      </c>
      <c r="P69" s="314">
        <v>320233698</v>
      </c>
    </row>
    <row r="70" spans="2:16" s="1" customFormat="1" ht="21">
      <c r="B70" s="3" t="s">
        <v>762</v>
      </c>
      <c r="F70" s="58"/>
      <c r="H70" s="58"/>
      <c r="J70" s="58"/>
      <c r="L70" s="58"/>
      <c r="N70" s="314">
        <v>163500000</v>
      </c>
      <c r="P70" s="139">
        <v>0</v>
      </c>
    </row>
    <row r="71" spans="2:16" s="1" customFormat="1" ht="21">
      <c r="B71" s="3" t="s">
        <v>763</v>
      </c>
      <c r="F71" s="58"/>
      <c r="H71" s="58"/>
      <c r="J71" s="58"/>
      <c r="L71" s="58"/>
      <c r="N71" s="314">
        <v>23090000</v>
      </c>
      <c r="P71" s="139">
        <v>0</v>
      </c>
    </row>
    <row r="72" spans="2:16" s="1" customFormat="1" ht="21">
      <c r="B72" s="3" t="s">
        <v>764</v>
      </c>
      <c r="F72" s="58"/>
      <c r="H72" s="58"/>
      <c r="J72" s="58"/>
      <c r="L72" s="58"/>
      <c r="N72" s="314">
        <v>4736610000</v>
      </c>
      <c r="P72" s="139">
        <v>0</v>
      </c>
    </row>
    <row r="73" spans="2:16" s="1" customFormat="1" ht="21">
      <c r="B73" s="3" t="s">
        <v>765</v>
      </c>
      <c r="F73" s="58"/>
      <c r="H73" s="58"/>
      <c r="J73" s="58"/>
      <c r="L73" s="58"/>
      <c r="N73" s="314">
        <v>144400996</v>
      </c>
      <c r="P73" s="139">
        <v>0</v>
      </c>
    </row>
    <row r="74" spans="2:16" s="1" customFormat="1" ht="21">
      <c r="B74" s="1" t="s">
        <v>766</v>
      </c>
      <c r="F74" s="58"/>
      <c r="H74" s="58"/>
      <c r="J74" s="58"/>
      <c r="L74" s="58"/>
      <c r="N74" s="314">
        <v>250000000</v>
      </c>
      <c r="P74" s="139">
        <v>0</v>
      </c>
    </row>
    <row r="75" spans="2:16" s="1" customFormat="1" ht="21">
      <c r="B75" s="3" t="s">
        <v>767</v>
      </c>
      <c r="C75" s="3"/>
      <c r="E75" s="3"/>
      <c r="F75" s="139"/>
      <c r="G75" s="53"/>
      <c r="H75" s="53"/>
      <c r="I75" s="53"/>
      <c r="J75" s="53"/>
      <c r="K75" s="53"/>
      <c r="L75" s="53"/>
      <c r="M75" s="53"/>
      <c r="N75" s="314">
        <v>948872080</v>
      </c>
      <c r="P75" s="314">
        <v>2132464</v>
      </c>
    </row>
    <row r="76" spans="2:16" s="1" customFormat="1" ht="21">
      <c r="B76" s="3" t="s">
        <v>776</v>
      </c>
      <c r="C76" s="3"/>
      <c r="E76" s="3"/>
      <c r="F76" s="139"/>
      <c r="G76" s="53"/>
      <c r="H76" s="53"/>
      <c r="I76" s="53"/>
      <c r="J76" s="53"/>
      <c r="K76" s="53"/>
      <c r="L76" s="53"/>
      <c r="M76" s="53"/>
      <c r="N76" s="139">
        <v>0</v>
      </c>
      <c r="P76" s="314">
        <v>420000000</v>
      </c>
    </row>
    <row r="77" spans="2:16" s="1" customFormat="1" ht="21">
      <c r="B77" s="3" t="s">
        <v>780</v>
      </c>
      <c r="C77" s="3"/>
      <c r="E77" s="3"/>
      <c r="F77" s="139"/>
      <c r="G77" s="53"/>
      <c r="H77" s="53"/>
      <c r="I77" s="53"/>
      <c r="J77" s="53"/>
      <c r="K77" s="53"/>
      <c r="L77" s="53"/>
      <c r="M77" s="53"/>
      <c r="N77" s="139">
        <v>0</v>
      </c>
      <c r="P77" s="314">
        <v>64520000</v>
      </c>
    </row>
    <row r="78" spans="2:16" s="1" customFormat="1" ht="21">
      <c r="B78" s="3" t="s">
        <v>781</v>
      </c>
      <c r="C78" s="3"/>
      <c r="E78" s="3"/>
      <c r="F78" s="139"/>
      <c r="G78" s="53"/>
      <c r="H78" s="53"/>
      <c r="I78" s="53"/>
      <c r="J78" s="53"/>
      <c r="K78" s="53"/>
      <c r="L78" s="53"/>
      <c r="M78" s="53"/>
      <c r="N78" s="139">
        <v>0</v>
      </c>
      <c r="P78" s="314">
        <v>366600000</v>
      </c>
    </row>
    <row r="79" spans="2:16" s="1" customFormat="1" ht="21">
      <c r="B79" s="3" t="s">
        <v>782</v>
      </c>
      <c r="C79" s="3"/>
      <c r="E79" s="3"/>
      <c r="F79" s="139"/>
      <c r="G79" s="53"/>
      <c r="H79" s="53"/>
      <c r="I79" s="53"/>
      <c r="J79" s="53"/>
      <c r="K79" s="53"/>
      <c r="L79" s="53"/>
      <c r="M79" s="53"/>
      <c r="N79" s="139">
        <v>0</v>
      </c>
      <c r="P79" s="314">
        <v>681000000</v>
      </c>
    </row>
    <row r="80" spans="2:16" s="1" customFormat="1" ht="21">
      <c r="B80" s="3" t="s">
        <v>768</v>
      </c>
      <c r="C80" s="3"/>
      <c r="E80" s="3"/>
      <c r="F80" s="139"/>
      <c r="G80" s="53"/>
      <c r="H80" s="53"/>
      <c r="I80" s="53"/>
      <c r="J80" s="53"/>
      <c r="K80" s="53"/>
      <c r="L80" s="53"/>
      <c r="M80" s="53"/>
      <c r="N80" s="314">
        <v>2502601000</v>
      </c>
      <c r="P80" s="314">
        <v>18297507026</v>
      </c>
    </row>
    <row r="81" spans="2:16" s="1" customFormat="1" ht="21">
      <c r="B81" s="3" t="s">
        <v>769</v>
      </c>
      <c r="C81" s="3"/>
      <c r="E81" s="3"/>
      <c r="F81" s="139"/>
      <c r="G81" s="53"/>
      <c r="H81" s="53"/>
      <c r="I81" s="53"/>
      <c r="J81" s="53"/>
      <c r="K81" s="53"/>
      <c r="L81" s="53"/>
      <c r="M81" s="53"/>
      <c r="N81" s="314">
        <v>29842612000</v>
      </c>
      <c r="P81" s="314">
        <v>72708341000</v>
      </c>
    </row>
    <row r="82" spans="2:16" s="1" customFormat="1" ht="21">
      <c r="B82" s="3" t="s">
        <v>779</v>
      </c>
      <c r="C82" s="3"/>
      <c r="E82" s="3"/>
      <c r="F82" s="139"/>
      <c r="G82" s="53"/>
      <c r="H82" s="53"/>
      <c r="I82" s="53"/>
      <c r="J82" s="53"/>
      <c r="K82" s="53"/>
      <c r="L82" s="53"/>
      <c r="M82" s="53"/>
      <c r="N82" s="314">
        <v>20020132322</v>
      </c>
      <c r="P82" s="314">
        <v>20901395581</v>
      </c>
    </row>
    <row r="83" spans="2:16" s="1" customFormat="1" ht="21.75" thickBot="1">
      <c r="B83" s="3"/>
      <c r="C83" s="3"/>
      <c r="E83" s="3"/>
      <c r="F83" s="139"/>
      <c r="G83" s="53"/>
      <c r="H83" s="53"/>
      <c r="I83" s="53"/>
      <c r="J83" s="53"/>
      <c r="K83" s="53"/>
      <c r="L83" s="53"/>
      <c r="M83" s="53"/>
      <c r="N83" s="316">
        <f>SUM(N60:N82)</f>
        <v>67347566290</v>
      </c>
      <c r="P83" s="316">
        <f>SUM(P60:P82)</f>
        <v>128351165557</v>
      </c>
    </row>
    <row r="84" spans="2:16" ht="21.75" thickTop="1">
      <c r="B84" s="35"/>
      <c r="C84" s="35"/>
      <c r="D84" s="35"/>
      <c r="E84" s="35"/>
      <c r="F84" s="35"/>
      <c r="G84" s="35"/>
      <c r="H84" s="35"/>
      <c r="I84" s="35"/>
      <c r="J84" s="35"/>
      <c r="K84" s="35"/>
      <c r="L84" s="1"/>
      <c r="M84" s="1"/>
      <c r="N84" s="31"/>
      <c r="O84" s="1"/>
      <c r="P84" s="2"/>
    </row>
    <row r="85" spans="2:16" ht="21">
      <c r="B85" s="35"/>
      <c r="C85" s="35"/>
      <c r="D85" s="35"/>
      <c r="E85" s="35"/>
      <c r="F85" s="35"/>
      <c r="G85" s="35"/>
      <c r="H85" s="35"/>
      <c r="I85" s="35"/>
      <c r="J85" s="35"/>
      <c r="K85" s="35"/>
      <c r="L85" s="1"/>
      <c r="M85" s="1"/>
      <c r="N85" s="31"/>
      <c r="O85" s="1"/>
      <c r="P85" s="2"/>
    </row>
    <row r="86" spans="2:16" ht="21">
      <c r="B86" s="813" t="s">
        <v>1345</v>
      </c>
      <c r="C86" s="813"/>
      <c r="D86" s="813"/>
      <c r="E86" s="813"/>
      <c r="F86" s="813"/>
      <c r="G86" s="813"/>
      <c r="H86" s="813"/>
      <c r="I86" s="813"/>
      <c r="J86" s="813"/>
      <c r="K86" s="813"/>
      <c r="L86" s="813"/>
      <c r="M86" s="813"/>
      <c r="N86" s="813"/>
      <c r="O86" s="813"/>
      <c r="P86" s="813"/>
    </row>
    <row r="87" spans="2:16" ht="21">
      <c r="B87" s="35"/>
      <c r="C87" s="35"/>
      <c r="D87" s="35"/>
      <c r="E87" s="35"/>
      <c r="F87" s="35"/>
      <c r="G87" s="35"/>
      <c r="H87" s="35"/>
      <c r="I87" s="35"/>
      <c r="J87" s="35"/>
      <c r="K87" s="35"/>
      <c r="L87" s="1"/>
      <c r="M87" s="1"/>
      <c r="N87" s="31"/>
      <c r="O87" s="1"/>
      <c r="P87" s="2"/>
    </row>
  </sheetData>
  <mergeCells count="16">
    <mergeCell ref="B55:P55"/>
    <mergeCell ref="B86:P86"/>
    <mergeCell ref="A1:Q1"/>
    <mergeCell ref="A2:Q2"/>
    <mergeCell ref="A3:Q3"/>
    <mergeCell ref="B5:P5"/>
    <mergeCell ref="F6:J6"/>
    <mergeCell ref="L6:P6"/>
    <mergeCell ref="B14:P14"/>
    <mergeCell ref="B15:P15"/>
    <mergeCell ref="B22:P22"/>
    <mergeCell ref="B29:P29"/>
    <mergeCell ref="B57:P57"/>
    <mergeCell ref="B54:P54"/>
    <mergeCell ref="B56:P56"/>
    <mergeCell ref="B52:P52"/>
  </mergeCells>
  <pageMargins left="0.70866141732283505" right="0.70866141732283505" top="0.74803149606299202" bottom="0.74803149606299202" header="0.31496062992126" footer="0.31496062992126"/>
  <pageSetup scale="76" firstPageNumber="36" orientation="portrait" useFirstPageNumber="1" r:id="rId1"/>
  <headerFooter>
    <oddFooter>&amp;C&amp;"B Nazanin,Regular"&amp;14&amp;P</oddFooter>
  </headerFooter>
  <rowBreaks count="1" manualBreakCount="1">
    <brk id="5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rightToLeft="1" view="pageBreakPreview" topLeftCell="A19" zoomScaleNormal="130" zoomScaleSheetLayoutView="100" workbookViewId="0">
      <selection activeCell="F95" sqref="F95"/>
    </sheetView>
  </sheetViews>
  <sheetFormatPr defaultColWidth="9" defaultRowHeight="21"/>
  <cols>
    <col min="1" max="1" width="2.7109375" style="1" customWidth="1"/>
    <col min="2" max="2" width="37.42578125" style="59" customWidth="1"/>
    <col min="3" max="3" width="0.7109375" style="1" customWidth="1"/>
    <col min="4" max="4" width="7.7109375" style="31" customWidth="1"/>
    <col min="5" max="5" width="0.85546875" style="1" customWidth="1"/>
    <col min="6" max="6" width="15.85546875" style="2" customWidth="1"/>
    <col min="7" max="7" width="0.85546875" style="2" customWidth="1"/>
    <col min="8" max="8" width="14.140625" style="2" customWidth="1"/>
    <col min="9" max="9" width="0.5703125" style="1" customWidth="1"/>
    <col min="10" max="10" width="3.140625" style="1" customWidth="1"/>
    <col min="11" max="11" width="21.28515625" style="1" customWidth="1"/>
    <col min="12" max="14" width="22.140625" style="1" customWidth="1"/>
    <col min="15" max="16384" width="9" style="1"/>
  </cols>
  <sheetData>
    <row r="1" spans="1:12" ht="21.75">
      <c r="A1" s="765" t="str">
        <f>مفروضات!$C$1</f>
        <v>دانشگاه علوم پزشکی و خدمات بهداشتی درمانی سمنان</v>
      </c>
      <c r="B1" s="765"/>
      <c r="C1" s="765"/>
      <c r="D1" s="765"/>
      <c r="E1" s="765"/>
      <c r="F1" s="765"/>
      <c r="G1" s="765"/>
      <c r="H1" s="765"/>
      <c r="I1" s="765"/>
      <c r="J1" s="25"/>
      <c r="K1" s="25"/>
    </row>
    <row r="2" spans="1:12" s="26" customFormat="1">
      <c r="A2" s="767" t="s">
        <v>33</v>
      </c>
      <c r="B2" s="767"/>
      <c r="C2" s="767"/>
      <c r="D2" s="767"/>
      <c r="E2" s="767"/>
      <c r="F2" s="767"/>
      <c r="G2" s="767"/>
      <c r="H2" s="767"/>
      <c r="I2" s="767"/>
    </row>
    <row r="3" spans="1:12" ht="21.75">
      <c r="A3" s="767" t="str">
        <f>مفروضات!$C$7</f>
        <v>سال مالي منتهي به 29 اسفند ماه 1402</v>
      </c>
      <c r="B3" s="767"/>
      <c r="C3" s="767"/>
      <c r="D3" s="767"/>
      <c r="E3" s="767"/>
      <c r="F3" s="767"/>
      <c r="G3" s="767"/>
      <c r="H3" s="767"/>
      <c r="I3" s="767"/>
      <c r="J3" s="26"/>
    </row>
    <row r="4" spans="1:12" ht="1.5" customHeight="1">
      <c r="B4" s="28"/>
      <c r="C4" s="29"/>
      <c r="D4" s="29"/>
      <c r="E4" s="29"/>
      <c r="F4" s="30"/>
      <c r="G4" s="30"/>
      <c r="H4" s="30"/>
      <c r="I4" s="29"/>
    </row>
    <row r="5" spans="1:12" ht="19.5" customHeight="1">
      <c r="A5" s="26"/>
      <c r="B5" s="796" t="s">
        <v>1346</v>
      </c>
      <c r="C5" s="796"/>
      <c r="D5" s="796"/>
      <c r="E5" s="796"/>
      <c r="F5" s="796"/>
      <c r="G5" s="796"/>
      <c r="H5" s="796"/>
      <c r="I5" s="26"/>
      <c r="J5" s="26"/>
      <c r="K5" s="26"/>
    </row>
    <row r="6" spans="1:12" ht="18.75" customHeight="1">
      <c r="A6" s="26"/>
      <c r="B6" s="283"/>
      <c r="C6" s="283"/>
      <c r="D6" s="284" t="s">
        <v>116</v>
      </c>
      <c r="E6" s="82"/>
      <c r="F6" s="32">
        <f>مفروضات!$C$3</f>
        <v>1402</v>
      </c>
      <c r="G6" s="33"/>
      <c r="H6" s="32">
        <f>مفروضات!$C$4</f>
        <v>1401</v>
      </c>
      <c r="I6" s="26"/>
      <c r="J6" s="26"/>
      <c r="K6" s="26"/>
    </row>
    <row r="7" spans="1:12" ht="18.75" customHeight="1">
      <c r="A7" s="26"/>
      <c r="B7" s="82"/>
      <c r="C7" s="82"/>
      <c r="D7" s="82"/>
      <c r="E7" s="82"/>
      <c r="F7" s="58" t="s">
        <v>103</v>
      </c>
      <c r="H7" s="58" t="s">
        <v>103</v>
      </c>
      <c r="I7" s="26"/>
      <c r="J7" s="26"/>
      <c r="K7" s="26"/>
    </row>
    <row r="8" spans="1:12" ht="18.75" customHeight="1">
      <c r="A8" s="26"/>
      <c r="B8" s="3" t="s">
        <v>83</v>
      </c>
      <c r="C8" s="82"/>
      <c r="D8" s="58" t="s">
        <v>1347</v>
      </c>
      <c r="E8" s="82"/>
      <c r="F8" s="314">
        <f>F25</f>
        <v>6756716737830</v>
      </c>
      <c r="G8" s="1"/>
      <c r="H8" s="314">
        <f>H25</f>
        <v>5308820341057</v>
      </c>
      <c r="I8" s="26"/>
      <c r="J8" s="26"/>
      <c r="K8" s="26"/>
    </row>
    <row r="9" spans="1:12" ht="18.75" customHeight="1">
      <c r="A9" s="26"/>
      <c r="B9" s="3" t="s">
        <v>268</v>
      </c>
      <c r="C9" s="82"/>
      <c r="D9" s="285"/>
      <c r="E9" s="82"/>
      <c r="F9" s="314">
        <v>688830872419</v>
      </c>
      <c r="G9" s="1"/>
      <c r="H9" s="314">
        <v>657477152408</v>
      </c>
      <c r="I9" s="26"/>
      <c r="J9" s="26"/>
      <c r="K9" s="26"/>
    </row>
    <row r="10" spans="1:12" ht="18.75" customHeight="1" thickBot="1">
      <c r="A10" s="26"/>
      <c r="B10" s="82"/>
      <c r="C10" s="82"/>
      <c r="D10" s="91"/>
      <c r="E10" s="82"/>
      <c r="F10" s="316">
        <f>SUM(F8:F9)</f>
        <v>7445547610249</v>
      </c>
      <c r="H10" s="316">
        <f>SUM(H8:H9)</f>
        <v>5966297493465</v>
      </c>
      <c r="I10" s="26"/>
      <c r="J10" s="26"/>
      <c r="K10" s="26"/>
    </row>
    <row r="11" spans="1:12" ht="8.25" customHeight="1" thickTop="1">
      <c r="A11" s="26"/>
      <c r="B11" s="82"/>
      <c r="C11" s="82"/>
      <c r="D11" s="82"/>
      <c r="E11" s="82"/>
      <c r="F11" s="82"/>
      <c r="G11" s="82"/>
      <c r="H11" s="82"/>
      <c r="I11" s="26"/>
      <c r="J11" s="26"/>
      <c r="K11" s="26"/>
    </row>
    <row r="12" spans="1:12" ht="20.25" customHeight="1">
      <c r="A12" s="26"/>
      <c r="B12" s="875" t="s">
        <v>1348</v>
      </c>
      <c r="C12" s="875"/>
      <c r="D12" s="875"/>
      <c r="E12" s="875"/>
      <c r="F12" s="875"/>
      <c r="G12" s="875"/>
      <c r="H12" s="875"/>
      <c r="I12" s="26"/>
      <c r="J12" s="26"/>
      <c r="K12" s="26"/>
    </row>
    <row r="13" spans="1:12" ht="1.5" customHeight="1">
      <c r="A13" s="26"/>
      <c r="B13" s="286"/>
      <c r="C13" s="286"/>
      <c r="D13" s="286"/>
      <c r="E13" s="286"/>
      <c r="F13" s="286"/>
      <c r="G13" s="286"/>
      <c r="H13" s="286"/>
      <c r="I13" s="26"/>
      <c r="J13" s="26"/>
      <c r="K13" s="26"/>
    </row>
    <row r="14" spans="1:12" ht="18.75" customHeight="1">
      <c r="A14" s="26"/>
      <c r="B14" s="888"/>
      <c r="C14" s="888"/>
      <c r="D14" s="888"/>
      <c r="E14" s="82"/>
      <c r="F14" s="32">
        <f>مفروضات!$C$3</f>
        <v>1402</v>
      </c>
      <c r="G14" s="33"/>
      <c r="H14" s="32">
        <f>مفروضات!$C$4</f>
        <v>1401</v>
      </c>
      <c r="I14" s="26"/>
      <c r="J14" s="26"/>
      <c r="K14" s="26"/>
    </row>
    <row r="15" spans="1:12" ht="18.75" customHeight="1">
      <c r="A15" s="26"/>
      <c r="B15" s="82"/>
      <c r="C15" s="82"/>
      <c r="D15" s="256"/>
      <c r="E15" s="82"/>
      <c r="F15" s="58" t="s">
        <v>103</v>
      </c>
      <c r="H15" s="58" t="s">
        <v>103</v>
      </c>
      <c r="I15" s="26"/>
      <c r="J15" s="26"/>
    </row>
    <row r="16" spans="1:12" s="62" customFormat="1" ht="18" customHeight="1">
      <c r="B16" s="3" t="s">
        <v>260</v>
      </c>
      <c r="C16" s="255"/>
      <c r="D16" s="256"/>
      <c r="E16" s="256"/>
      <c r="F16" s="314">
        <f>759913635813-12967954170</f>
        <v>746945681643</v>
      </c>
      <c r="G16" s="253"/>
      <c r="H16" s="314">
        <v>489868324863</v>
      </c>
      <c r="K16" s="1"/>
      <c r="L16" s="1"/>
    </row>
    <row r="17" spans="1:12" s="62" customFormat="1" ht="18" customHeight="1">
      <c r="B17" s="3" t="s">
        <v>263</v>
      </c>
      <c r="C17" s="255"/>
      <c r="D17" s="256"/>
      <c r="E17" s="256"/>
      <c r="F17" s="314">
        <f>4158911289254-540589008881+37751418180</f>
        <v>3656073698553</v>
      </c>
      <c r="G17" s="253"/>
      <c r="H17" s="314">
        <v>3023322130637</v>
      </c>
      <c r="K17" s="1"/>
      <c r="L17" s="1"/>
    </row>
    <row r="18" spans="1:12" s="62" customFormat="1" ht="18" customHeight="1">
      <c r="B18" s="3" t="s">
        <v>261</v>
      </c>
      <c r="C18" s="255"/>
      <c r="D18" s="256"/>
      <c r="E18" s="256"/>
      <c r="F18" s="314">
        <f>219590137995-4575888637</f>
        <v>215014249358</v>
      </c>
      <c r="G18" s="253"/>
      <c r="H18" s="315">
        <v>227878870340</v>
      </c>
      <c r="K18" s="1"/>
      <c r="L18" s="1"/>
    </row>
    <row r="19" spans="1:12" s="62" customFormat="1" ht="18" customHeight="1">
      <c r="B19" s="3" t="s">
        <v>264</v>
      </c>
      <c r="C19" s="255"/>
      <c r="D19" s="256"/>
      <c r="E19" s="256"/>
      <c r="F19" s="314">
        <f>823048268775-68687978316</f>
        <v>754360290459</v>
      </c>
      <c r="G19" s="253"/>
      <c r="H19" s="314">
        <v>592646825818</v>
      </c>
      <c r="K19" s="1"/>
      <c r="L19" s="1"/>
    </row>
    <row r="20" spans="1:12" s="62" customFormat="1" ht="18" customHeight="1">
      <c r="B20" s="3" t="s">
        <v>262</v>
      </c>
      <c r="C20" s="255"/>
      <c r="D20" s="256"/>
      <c r="E20" s="256"/>
      <c r="F20" s="314">
        <f>141665680061-1439677518</f>
        <v>140226002543</v>
      </c>
      <c r="G20" s="253"/>
      <c r="H20" s="314">
        <v>111632711439</v>
      </c>
      <c r="K20" s="1"/>
      <c r="L20" s="1"/>
    </row>
    <row r="21" spans="1:12" s="62" customFormat="1" ht="18" customHeight="1">
      <c r="B21" s="3" t="s">
        <v>265</v>
      </c>
      <c r="C21" s="255"/>
      <c r="D21" s="256"/>
      <c r="E21" s="256"/>
      <c r="F21" s="314">
        <f>509777836859-2441375187</f>
        <v>507336461672</v>
      </c>
      <c r="G21" s="253"/>
      <c r="H21" s="314">
        <v>372972164049</v>
      </c>
      <c r="K21" s="1"/>
      <c r="L21" s="1"/>
    </row>
    <row r="22" spans="1:12" s="62" customFormat="1" ht="18" customHeight="1">
      <c r="B22" s="3" t="s">
        <v>266</v>
      </c>
      <c r="C22" s="255"/>
      <c r="D22" s="256"/>
      <c r="E22" s="256"/>
      <c r="F22" s="314">
        <f>562763652867-95934611826+13974286598</f>
        <v>480803327639</v>
      </c>
      <c r="G22" s="253"/>
      <c r="H22" s="314">
        <v>310984860506</v>
      </c>
      <c r="K22" s="1"/>
      <c r="L22" s="1"/>
    </row>
    <row r="23" spans="1:12" s="62" customFormat="1" ht="18" customHeight="1">
      <c r="B23" s="3" t="s">
        <v>267</v>
      </c>
      <c r="C23" s="255"/>
      <c r="D23" s="256"/>
      <c r="E23" s="256"/>
      <c r="F23" s="314">
        <f>264377613615-16953624231+8533036579</f>
        <v>255957025963</v>
      </c>
      <c r="G23" s="253"/>
      <c r="H23" s="314">
        <v>179514453405</v>
      </c>
      <c r="K23" s="1"/>
      <c r="L23" s="1"/>
    </row>
    <row r="24" spans="1:12" s="62" customFormat="1" ht="18" hidden="1" customHeight="1">
      <c r="B24" s="3" t="s">
        <v>51</v>
      </c>
      <c r="C24" s="255"/>
      <c r="D24" s="256"/>
      <c r="E24" s="256"/>
      <c r="F24" s="257">
        <v>0</v>
      </c>
      <c r="G24" s="253"/>
      <c r="H24" s="257">
        <v>0</v>
      </c>
      <c r="K24" s="1"/>
      <c r="L24" s="1"/>
    </row>
    <row r="25" spans="1:12" ht="18.75" customHeight="1" thickBot="1">
      <c r="A25" s="26"/>
      <c r="B25" s="82"/>
      <c r="C25" s="82"/>
      <c r="D25" s="82"/>
      <c r="E25" s="82"/>
      <c r="F25" s="312">
        <f>SUM(F16:F24)</f>
        <v>6756716737830</v>
      </c>
      <c r="G25" s="69"/>
      <c r="H25" s="312">
        <f>SUM(H16:H24)</f>
        <v>5308820341057</v>
      </c>
      <c r="I25" s="26"/>
      <c r="J25" s="26"/>
    </row>
    <row r="26" spans="1:12" ht="33" customHeight="1" thickTop="1">
      <c r="A26" s="26"/>
      <c r="B26" s="889" t="s">
        <v>1349</v>
      </c>
      <c r="C26" s="889"/>
      <c r="D26" s="889"/>
      <c r="E26" s="889"/>
      <c r="F26" s="889"/>
      <c r="G26" s="889"/>
      <c r="H26" s="889"/>
      <c r="I26" s="26"/>
      <c r="J26" s="26"/>
    </row>
    <row r="27" spans="1:12" ht="28.5" customHeight="1">
      <c r="A27" s="26"/>
      <c r="B27" s="889"/>
      <c r="C27" s="889"/>
      <c r="D27" s="889"/>
      <c r="E27" s="889"/>
      <c r="F27" s="889"/>
      <c r="G27" s="889"/>
      <c r="H27" s="889"/>
      <c r="I27" s="26"/>
      <c r="J27" s="26"/>
    </row>
    <row r="28" spans="1:12" ht="18.75" customHeight="1">
      <c r="A28" s="26"/>
      <c r="B28" s="796" t="s">
        <v>1350</v>
      </c>
      <c r="C28" s="796"/>
      <c r="D28" s="796"/>
      <c r="E28" s="82"/>
      <c r="F28" s="1"/>
      <c r="G28" s="1"/>
      <c r="H28" s="1"/>
      <c r="I28" s="26"/>
      <c r="J28" s="26"/>
    </row>
    <row r="29" spans="1:12" ht="19.5" customHeight="1">
      <c r="A29" s="26"/>
      <c r="B29" s="82"/>
      <c r="C29" s="82"/>
      <c r="D29" s="32" t="s">
        <v>116</v>
      </c>
      <c r="E29" s="82"/>
      <c r="F29" s="32">
        <f>مفروضات!$C$3</f>
        <v>1402</v>
      </c>
      <c r="G29" s="33"/>
      <c r="H29" s="32">
        <f>مفروضات!$C$4</f>
        <v>1401</v>
      </c>
      <c r="I29" s="26"/>
      <c r="J29" s="26"/>
    </row>
    <row r="30" spans="1:12" ht="19.5" customHeight="1">
      <c r="A30" s="26"/>
      <c r="B30" s="82"/>
      <c r="C30" s="82"/>
      <c r="D30" s="82"/>
      <c r="E30" s="82"/>
      <c r="F30" s="58" t="s">
        <v>103</v>
      </c>
      <c r="H30" s="58" t="s">
        <v>103</v>
      </c>
      <c r="I30" s="26"/>
      <c r="J30" s="26"/>
      <c r="K30" s="26"/>
    </row>
    <row r="31" spans="1:12" ht="19.5" customHeight="1">
      <c r="A31" s="26"/>
      <c r="B31" s="3" t="s">
        <v>84</v>
      </c>
      <c r="C31" s="82"/>
      <c r="D31" s="82"/>
      <c r="E31" s="82"/>
      <c r="F31" s="314">
        <v>29709875733</v>
      </c>
      <c r="G31" s="1"/>
      <c r="H31" s="314">
        <v>20948960194</v>
      </c>
      <c r="I31" s="26"/>
      <c r="J31" s="26"/>
      <c r="K31" s="26"/>
    </row>
    <row r="32" spans="1:12" ht="19.5" customHeight="1">
      <c r="A32" s="26"/>
      <c r="B32" s="3" t="s">
        <v>85</v>
      </c>
      <c r="C32" s="82"/>
      <c r="D32" s="58" t="s">
        <v>1351</v>
      </c>
      <c r="E32" s="82"/>
      <c r="F32" s="314">
        <f>F64</f>
        <v>4102697287445</v>
      </c>
      <c r="G32" s="1"/>
      <c r="H32" s="314">
        <f>H64</f>
        <v>2895724204205</v>
      </c>
      <c r="I32" s="26"/>
      <c r="J32" s="26"/>
      <c r="K32" s="26"/>
      <c r="L32" s="1">
        <f>F49-1049902000000</f>
        <v>0</v>
      </c>
    </row>
    <row r="33" spans="1:11" ht="19.5" customHeight="1">
      <c r="A33" s="26"/>
      <c r="B33" s="3" t="s">
        <v>86</v>
      </c>
      <c r="C33" s="82"/>
      <c r="D33" s="82"/>
      <c r="E33" s="82"/>
      <c r="F33" s="314">
        <v>59606573857</v>
      </c>
      <c r="G33" s="1"/>
      <c r="H33" s="314">
        <v>28805392688</v>
      </c>
      <c r="I33" s="26"/>
      <c r="J33" s="26"/>
      <c r="K33" s="26"/>
    </row>
    <row r="34" spans="1:11" ht="19.5" customHeight="1">
      <c r="A34" s="26"/>
      <c r="B34" s="3" t="s">
        <v>87</v>
      </c>
      <c r="C34" s="82"/>
      <c r="D34" s="82"/>
      <c r="E34" s="82"/>
      <c r="F34" s="314">
        <v>122545978239</v>
      </c>
      <c r="G34" s="1"/>
      <c r="H34" s="314">
        <v>64361441321</v>
      </c>
      <c r="I34" s="26"/>
      <c r="J34" s="26"/>
      <c r="K34" s="26"/>
    </row>
    <row r="35" spans="1:11" ht="19.5" customHeight="1">
      <c r="A35" s="26"/>
      <c r="B35" s="3" t="s">
        <v>88</v>
      </c>
      <c r="C35" s="82"/>
      <c r="D35" s="82"/>
      <c r="E35" s="82"/>
      <c r="F35" s="314">
        <v>17942644471</v>
      </c>
      <c r="G35" s="1"/>
      <c r="H35" s="314">
        <v>10842017879</v>
      </c>
      <c r="I35" s="26"/>
      <c r="J35" s="26"/>
      <c r="K35" s="26"/>
    </row>
    <row r="36" spans="1:11" ht="19.5" customHeight="1">
      <c r="A36" s="26"/>
      <c r="B36" s="3" t="s">
        <v>89</v>
      </c>
      <c r="C36" s="82"/>
      <c r="D36" s="82"/>
      <c r="E36" s="82"/>
      <c r="F36" s="314">
        <v>20256016619</v>
      </c>
      <c r="G36" s="1"/>
      <c r="H36" s="314">
        <v>9772208140</v>
      </c>
      <c r="I36" s="26"/>
      <c r="J36" s="26"/>
      <c r="K36" s="26"/>
    </row>
    <row r="37" spans="1:11" ht="19.5" customHeight="1">
      <c r="A37" s="26"/>
      <c r="B37" s="3" t="s">
        <v>90</v>
      </c>
      <c r="C37" s="82"/>
      <c r="D37" s="82"/>
      <c r="E37" s="82"/>
      <c r="F37" s="314">
        <v>5116262500</v>
      </c>
      <c r="G37" s="1"/>
      <c r="H37" s="314">
        <v>1054883060</v>
      </c>
      <c r="I37" s="26"/>
      <c r="J37" s="26"/>
      <c r="K37" s="26"/>
    </row>
    <row r="38" spans="1:11" ht="19.5" customHeight="1">
      <c r="A38" s="26"/>
      <c r="B38" s="3" t="s">
        <v>91</v>
      </c>
      <c r="C38" s="82"/>
      <c r="D38" s="82"/>
      <c r="E38" s="82"/>
      <c r="F38" s="314">
        <v>40672495488</v>
      </c>
      <c r="G38" s="1"/>
      <c r="H38" s="314">
        <v>11917526626</v>
      </c>
      <c r="I38" s="26"/>
      <c r="J38" s="26"/>
      <c r="K38" s="26"/>
    </row>
    <row r="39" spans="1:11" ht="19.5" customHeight="1">
      <c r="A39" s="26"/>
      <c r="B39" s="3" t="s">
        <v>92</v>
      </c>
      <c r="C39" s="82"/>
      <c r="D39" s="82"/>
      <c r="E39" s="82"/>
      <c r="F39" s="314">
        <v>2937026937</v>
      </c>
      <c r="G39" s="1"/>
      <c r="H39" s="314">
        <v>13546253293</v>
      </c>
      <c r="I39" s="26"/>
      <c r="J39" s="26"/>
      <c r="K39" s="26"/>
    </row>
    <row r="40" spans="1:11" ht="19.5" customHeight="1">
      <c r="A40" s="26"/>
      <c r="B40" s="3" t="s">
        <v>93</v>
      </c>
      <c r="C40" s="82"/>
      <c r="D40" s="82"/>
      <c r="E40" s="82"/>
      <c r="F40" s="314">
        <v>875518808</v>
      </c>
      <c r="G40" s="1"/>
      <c r="H40" s="314">
        <v>109882508</v>
      </c>
      <c r="I40" s="26"/>
      <c r="J40" s="26"/>
      <c r="K40" s="26"/>
    </row>
    <row r="41" spans="1:11" ht="19.5" customHeight="1">
      <c r="A41" s="26"/>
      <c r="B41" s="3" t="s">
        <v>94</v>
      </c>
      <c r="C41" s="82"/>
      <c r="D41" s="82"/>
      <c r="E41" s="82"/>
      <c r="F41" s="314">
        <v>206500841377</v>
      </c>
      <c r="G41" s="1"/>
      <c r="H41" s="314">
        <v>213252915307</v>
      </c>
      <c r="I41" s="26"/>
      <c r="J41" s="26"/>
      <c r="K41" s="26"/>
    </row>
    <row r="42" spans="1:11" ht="19.5" customHeight="1">
      <c r="A42" s="26"/>
      <c r="B42" s="3" t="s">
        <v>95</v>
      </c>
      <c r="C42" s="82"/>
      <c r="D42" s="58" t="s">
        <v>1352</v>
      </c>
      <c r="E42" s="82"/>
      <c r="F42" s="314">
        <f>F89</f>
        <v>2782079120200</v>
      </c>
      <c r="G42" s="1"/>
      <c r="H42" s="314">
        <f>H89</f>
        <v>1719952269787</v>
      </c>
      <c r="I42" s="26"/>
      <c r="J42" s="26"/>
      <c r="K42" s="26"/>
    </row>
    <row r="43" spans="1:11" ht="19.5" customHeight="1">
      <c r="A43" s="26"/>
      <c r="B43" s="3" t="s">
        <v>96</v>
      </c>
      <c r="C43" s="82"/>
      <c r="D43" s="82"/>
      <c r="E43" s="82"/>
      <c r="F43" s="314">
        <v>32464122102</v>
      </c>
      <c r="G43" s="1"/>
      <c r="H43" s="314">
        <v>40689407800</v>
      </c>
      <c r="I43" s="26"/>
      <c r="J43" s="26"/>
      <c r="K43" s="26"/>
    </row>
    <row r="44" spans="1:11" ht="19.5" customHeight="1" thickBot="1">
      <c r="A44" s="26"/>
      <c r="B44" s="82"/>
      <c r="C44" s="82"/>
      <c r="D44" s="82"/>
      <c r="E44" s="82"/>
      <c r="F44" s="316">
        <f>SUM(F31:F43)</f>
        <v>7423403763776</v>
      </c>
      <c r="H44" s="316">
        <f>SUM(H31:H43)</f>
        <v>5030977362808</v>
      </c>
      <c r="I44" s="26"/>
      <c r="J44" s="26"/>
      <c r="K44" s="26"/>
    </row>
    <row r="45" spans="1:11" ht="4.5" customHeight="1" thickTop="1">
      <c r="A45" s="26"/>
      <c r="B45" s="82"/>
      <c r="C45" s="82"/>
      <c r="D45" s="82"/>
      <c r="E45" s="82"/>
      <c r="I45" s="26"/>
      <c r="J45" s="26"/>
      <c r="K45" s="26"/>
    </row>
    <row r="46" spans="1:11" ht="19.5" customHeight="1">
      <c r="A46" s="26"/>
      <c r="B46" s="875" t="s">
        <v>1353</v>
      </c>
      <c r="C46" s="875"/>
      <c r="D46" s="875"/>
      <c r="E46" s="875"/>
      <c r="F46" s="875"/>
      <c r="G46" s="875"/>
      <c r="H46" s="875"/>
      <c r="I46" s="26"/>
      <c r="J46" s="26"/>
      <c r="K46" s="26"/>
    </row>
    <row r="47" spans="1:11" ht="17.25" customHeight="1">
      <c r="A47" s="26"/>
      <c r="B47" s="82"/>
      <c r="C47" s="82"/>
      <c r="D47"/>
      <c r="E47" s="82"/>
      <c r="F47" s="32">
        <f>مفروضات!$C$3</f>
        <v>1402</v>
      </c>
      <c r="G47" s="33"/>
      <c r="H47" s="32">
        <f>$H$29</f>
        <v>1401</v>
      </c>
      <c r="I47" s="26"/>
      <c r="J47" s="26"/>
      <c r="K47" s="26"/>
    </row>
    <row r="48" spans="1:11" ht="19.5" customHeight="1">
      <c r="A48" s="26"/>
      <c r="B48" s="82"/>
      <c r="C48" s="82"/>
      <c r="D48"/>
      <c r="E48" s="82"/>
      <c r="F48" s="58" t="s">
        <v>103</v>
      </c>
      <c r="H48" s="58" t="s">
        <v>103</v>
      </c>
      <c r="I48" s="26"/>
      <c r="J48" s="26"/>
      <c r="K48" s="26"/>
    </row>
    <row r="49" spans="1:12" ht="19.5" customHeight="1">
      <c r="A49" s="26"/>
      <c r="B49" s="3" t="s">
        <v>270</v>
      </c>
      <c r="C49" s="82"/>
      <c r="D49"/>
      <c r="E49" s="82"/>
      <c r="F49" s="314">
        <v>1049902000000</v>
      </c>
      <c r="G49" s="43"/>
      <c r="H49" s="314">
        <v>691089176162</v>
      </c>
      <c r="I49" s="26"/>
      <c r="J49" s="26"/>
      <c r="K49" s="26"/>
    </row>
    <row r="50" spans="1:12" ht="19.5" customHeight="1">
      <c r="A50" s="26"/>
      <c r="B50" s="3" t="s">
        <v>242</v>
      </c>
      <c r="C50" s="82"/>
      <c r="D50"/>
      <c r="E50" s="82"/>
      <c r="F50" s="314">
        <v>26083422190</v>
      </c>
      <c r="G50" s="43"/>
      <c r="H50" s="314">
        <v>12662415140</v>
      </c>
      <c r="I50" s="26"/>
      <c r="J50" s="26"/>
      <c r="K50" s="26"/>
    </row>
    <row r="51" spans="1:12" ht="19.5" customHeight="1">
      <c r="A51" s="26"/>
      <c r="B51" s="3" t="s">
        <v>243</v>
      </c>
      <c r="C51" s="82"/>
      <c r="D51" s="58" t="s">
        <v>1354</v>
      </c>
      <c r="E51" s="82"/>
      <c r="F51" s="314">
        <f>F77</f>
        <v>560965715370</v>
      </c>
      <c r="G51" s="43"/>
      <c r="H51" s="314">
        <v>415643017348</v>
      </c>
      <c r="I51" s="26"/>
      <c r="J51" s="26"/>
      <c r="K51" s="26" t="s">
        <v>1040</v>
      </c>
    </row>
    <row r="52" spans="1:12" ht="19.5" customHeight="1">
      <c r="A52" s="26"/>
      <c r="B52" s="3" t="s">
        <v>244</v>
      </c>
      <c r="C52" s="82"/>
      <c r="D52" s="82"/>
      <c r="E52" s="82"/>
      <c r="F52" s="314">
        <v>63999999</v>
      </c>
      <c r="G52" s="43"/>
      <c r="H52" s="139">
        <v>0</v>
      </c>
      <c r="I52" s="26"/>
      <c r="J52" s="26"/>
      <c r="K52" s="26"/>
    </row>
    <row r="53" spans="1:12" ht="19.5" customHeight="1">
      <c r="A53" s="26"/>
      <c r="B53" s="3" t="s">
        <v>245</v>
      </c>
      <c r="C53" s="82"/>
      <c r="D53" s="82"/>
      <c r="E53" s="82"/>
      <c r="F53" s="314">
        <v>1016460102669</v>
      </c>
      <c r="G53" s="43"/>
      <c r="H53" s="314">
        <v>714909977252</v>
      </c>
      <c r="I53" s="26"/>
      <c r="J53" s="26"/>
      <c r="K53" s="26">
        <f>F49+F51</f>
        <v>1610867715370</v>
      </c>
      <c r="L53" s="1" t="s">
        <v>1073</v>
      </c>
    </row>
    <row r="54" spans="1:12" ht="19.5" customHeight="1">
      <c r="A54" s="26"/>
      <c r="B54" s="3" t="s">
        <v>246</v>
      </c>
      <c r="C54" s="82"/>
      <c r="D54" s="82"/>
      <c r="E54" s="82"/>
      <c r="F54" s="314">
        <v>770967276235</v>
      </c>
      <c r="G54" s="43"/>
      <c r="H54" s="314">
        <v>370324384024</v>
      </c>
      <c r="I54" s="26"/>
      <c r="J54" s="26"/>
      <c r="K54" s="26"/>
    </row>
    <row r="55" spans="1:12" ht="19.5" customHeight="1">
      <c r="A55" s="26"/>
      <c r="B55" s="3" t="s">
        <v>247</v>
      </c>
      <c r="C55" s="82"/>
      <c r="D55" s="82"/>
      <c r="E55" s="82"/>
      <c r="F55" s="314">
        <v>46711953514</v>
      </c>
      <c r="G55" s="43"/>
      <c r="H55" s="314">
        <v>28545046988</v>
      </c>
      <c r="I55" s="26"/>
      <c r="J55" s="26"/>
      <c r="K55" s="26"/>
    </row>
    <row r="56" spans="1:12" ht="19.5" customHeight="1">
      <c r="A56" s="26"/>
      <c r="B56" s="3" t="s">
        <v>248</v>
      </c>
      <c r="C56" s="82"/>
      <c r="D56" s="82"/>
      <c r="E56" s="82"/>
      <c r="F56" s="314">
        <v>47425444364</v>
      </c>
      <c r="G56" s="43"/>
      <c r="H56" s="314">
        <v>27098029761</v>
      </c>
      <c r="I56" s="26"/>
      <c r="J56" s="26"/>
      <c r="K56" s="26"/>
    </row>
    <row r="57" spans="1:12" ht="19.5" customHeight="1">
      <c r="A57" s="26"/>
      <c r="B57" s="3" t="s">
        <v>249</v>
      </c>
      <c r="C57" s="82"/>
      <c r="D57" s="82"/>
      <c r="E57" s="82"/>
      <c r="F57" s="314">
        <v>33976594087</v>
      </c>
      <c r="G57" s="43"/>
      <c r="H57" s="314">
        <v>24994327884</v>
      </c>
      <c r="I57" s="26"/>
      <c r="J57" s="26"/>
      <c r="K57" s="26"/>
    </row>
    <row r="58" spans="1:12" ht="19.5" customHeight="1">
      <c r="A58" s="26"/>
      <c r="B58" s="3" t="s">
        <v>250</v>
      </c>
      <c r="C58" s="82"/>
      <c r="D58" s="82"/>
      <c r="E58" s="82"/>
      <c r="F58" s="314">
        <v>91766625408</v>
      </c>
      <c r="G58" s="43"/>
      <c r="H58" s="314">
        <v>72899852424</v>
      </c>
      <c r="I58" s="26"/>
      <c r="J58" s="26"/>
      <c r="K58" s="26"/>
    </row>
    <row r="59" spans="1:12" ht="19.5" customHeight="1">
      <c r="A59" s="26"/>
      <c r="B59" s="3" t="s">
        <v>251</v>
      </c>
      <c r="C59" s="82"/>
      <c r="D59" s="82"/>
      <c r="E59" s="82"/>
      <c r="F59" s="314">
        <v>185619724282</v>
      </c>
      <c r="G59" s="43"/>
      <c r="H59" s="314">
        <v>266464648953</v>
      </c>
      <c r="I59" s="26"/>
      <c r="J59" s="26"/>
      <c r="K59" s="26"/>
    </row>
    <row r="60" spans="1:12" ht="19.5" customHeight="1">
      <c r="A60" s="26"/>
      <c r="B60" s="3" t="s">
        <v>252</v>
      </c>
      <c r="C60" s="82"/>
      <c r="D60" s="82"/>
      <c r="E60" s="82"/>
      <c r="F60" s="314">
        <v>9532300000</v>
      </c>
      <c r="G60" s="43"/>
      <c r="H60" s="314">
        <v>7787000000</v>
      </c>
      <c r="I60" s="26"/>
      <c r="J60" s="26"/>
      <c r="K60" s="26"/>
    </row>
    <row r="61" spans="1:12" ht="19.5" customHeight="1">
      <c r="A61" s="26"/>
      <c r="B61" s="3" t="s">
        <v>253</v>
      </c>
      <c r="C61" s="82"/>
      <c r="D61" s="82"/>
      <c r="E61" s="82"/>
      <c r="F61" s="314">
        <v>27595649964</v>
      </c>
      <c r="G61" s="43"/>
      <c r="H61" s="314">
        <v>15902601017</v>
      </c>
      <c r="I61" s="26"/>
      <c r="J61" s="26"/>
      <c r="K61" s="26"/>
    </row>
    <row r="62" spans="1:12" ht="19.5" customHeight="1">
      <c r="A62" s="26"/>
      <c r="B62" s="3" t="s">
        <v>269</v>
      </c>
      <c r="C62" s="82"/>
      <c r="D62" s="82"/>
      <c r="E62" s="82"/>
      <c r="F62" s="314">
        <v>79568800</v>
      </c>
      <c r="G62" s="43"/>
      <c r="H62" s="146">
        <v>0</v>
      </c>
      <c r="I62" s="26"/>
      <c r="J62" s="26"/>
      <c r="K62" s="26"/>
    </row>
    <row r="63" spans="1:12" ht="15" customHeight="1">
      <c r="A63" s="26"/>
      <c r="B63" s="3" t="s">
        <v>51</v>
      </c>
      <c r="C63" s="82"/>
      <c r="D63" s="82"/>
      <c r="E63" s="82"/>
      <c r="F63" s="314">
        <v>235546910563</v>
      </c>
      <c r="G63" s="43"/>
      <c r="H63" s="314">
        <v>247403727252</v>
      </c>
      <c r="I63" s="26"/>
      <c r="J63" s="26"/>
      <c r="K63" s="26"/>
    </row>
    <row r="64" spans="1:12" ht="19.5" customHeight="1" thickBot="1">
      <c r="A64" s="26"/>
      <c r="B64" s="82"/>
      <c r="C64" s="82"/>
      <c r="D64" s="82"/>
      <c r="E64" s="82"/>
      <c r="F64" s="316">
        <f>SUM(F49:F63)</f>
        <v>4102697287445</v>
      </c>
      <c r="G64" s="69"/>
      <c r="H64" s="316">
        <f>SUM(H49:H63)</f>
        <v>2895724204205</v>
      </c>
      <c r="I64" s="26"/>
      <c r="J64" s="26"/>
      <c r="K64" s="26"/>
    </row>
    <row r="65" spans="1:12" ht="19.5" customHeight="1" thickTop="1">
      <c r="A65" s="26"/>
      <c r="B65" s="82"/>
      <c r="C65" s="82"/>
      <c r="D65" s="82"/>
      <c r="E65" s="82"/>
      <c r="F65" s="137"/>
      <c r="G65" s="69"/>
      <c r="H65" s="137"/>
      <c r="I65" s="26"/>
      <c r="J65" s="26"/>
      <c r="K65" s="26"/>
    </row>
    <row r="66" spans="1:12" ht="19.5" customHeight="1">
      <c r="A66" s="26"/>
      <c r="B66" s="82"/>
      <c r="C66" s="82"/>
      <c r="D66" s="82"/>
      <c r="E66" s="82"/>
      <c r="F66" s="137"/>
      <c r="G66" s="69"/>
      <c r="H66" s="137"/>
      <c r="I66" s="26"/>
      <c r="J66" s="26"/>
      <c r="K66" s="26"/>
    </row>
    <row r="67" spans="1:12" ht="19.5" customHeight="1">
      <c r="A67" s="26"/>
      <c r="B67" s="875" t="s">
        <v>1355</v>
      </c>
      <c r="C67" s="875"/>
      <c r="D67" s="875"/>
      <c r="E67" s="875"/>
      <c r="F67" s="875"/>
      <c r="G67" s="875"/>
      <c r="H67" s="875"/>
      <c r="I67" s="26"/>
      <c r="J67" s="26"/>
      <c r="K67" s="26"/>
    </row>
    <row r="68" spans="1:12" ht="19.5" customHeight="1">
      <c r="A68" s="26"/>
      <c r="B68" s="3"/>
      <c r="C68" s="3"/>
      <c r="D68" s="3"/>
      <c r="E68" s="3"/>
      <c r="F68" s="32">
        <f>مفروضات!$C$3</f>
        <v>1402</v>
      </c>
      <c r="G68" s="33"/>
      <c r="H68" s="32">
        <f>مفروضات!$C$4</f>
        <v>1401</v>
      </c>
      <c r="I68" s="26"/>
      <c r="J68" s="26"/>
      <c r="K68" s="26"/>
    </row>
    <row r="69" spans="1:12" ht="19.5" customHeight="1">
      <c r="A69" s="26"/>
      <c r="B69" s="3"/>
      <c r="C69" s="3"/>
      <c r="D69" s="3"/>
      <c r="E69" s="3"/>
      <c r="F69" s="58" t="s">
        <v>103</v>
      </c>
      <c r="H69" s="58" t="s">
        <v>103</v>
      </c>
      <c r="I69" s="26"/>
      <c r="J69" s="26"/>
      <c r="K69" s="26"/>
    </row>
    <row r="70" spans="1:12" ht="19.5" customHeight="1">
      <c r="A70" s="26"/>
      <c r="B70" s="3" t="s">
        <v>1043</v>
      </c>
      <c r="C70" s="82"/>
      <c r="D70" s="82"/>
      <c r="E70" s="82"/>
      <c r="F70" s="314">
        <v>3163203620</v>
      </c>
      <c r="G70" s="69"/>
      <c r="H70" s="314">
        <v>2750611844</v>
      </c>
      <c r="I70" s="26"/>
      <c r="J70" s="26"/>
      <c r="K70" s="26"/>
      <c r="L70" s="1">
        <f>F77-F51</f>
        <v>0</v>
      </c>
    </row>
    <row r="71" spans="1:12" ht="19.5" customHeight="1">
      <c r="A71" s="26"/>
      <c r="B71" s="3" t="s">
        <v>1044</v>
      </c>
      <c r="C71" s="82"/>
      <c r="D71" s="82"/>
      <c r="E71" s="82"/>
      <c r="F71" s="314">
        <v>11844351380</v>
      </c>
      <c r="G71" s="69"/>
      <c r="H71" s="314">
        <v>5862887508</v>
      </c>
      <c r="I71" s="26"/>
      <c r="J71" s="26"/>
      <c r="K71" s="26"/>
      <c r="L71" s="314"/>
    </row>
    <row r="72" spans="1:12" ht="19.5" customHeight="1">
      <c r="A72" s="26"/>
      <c r="B72" s="3" t="s">
        <v>1045</v>
      </c>
      <c r="C72" s="82"/>
      <c r="D72" s="82"/>
      <c r="E72" s="82"/>
      <c r="F72" s="314">
        <v>16360061034</v>
      </c>
      <c r="G72" s="69"/>
      <c r="H72" s="314">
        <v>13633384195</v>
      </c>
      <c r="I72" s="26"/>
      <c r="J72" s="26"/>
      <c r="K72" s="26"/>
    </row>
    <row r="73" spans="1:12" ht="19.5" customHeight="1">
      <c r="A73" s="26"/>
      <c r="B73" s="3" t="s">
        <v>1046</v>
      </c>
      <c r="C73" s="82"/>
      <c r="D73" s="82"/>
      <c r="E73" s="82"/>
      <c r="F73" s="314">
        <v>2602762803</v>
      </c>
      <c r="G73" s="69"/>
      <c r="H73" s="314">
        <v>2082210243</v>
      </c>
      <c r="I73" s="26"/>
      <c r="J73" s="26"/>
      <c r="K73" s="26"/>
    </row>
    <row r="74" spans="1:12" ht="19.5" customHeight="1">
      <c r="A74" s="26"/>
      <c r="B74" s="3" t="s">
        <v>1047</v>
      </c>
      <c r="C74" s="82"/>
      <c r="D74" s="82"/>
      <c r="E74" s="82"/>
      <c r="F74" s="332">
        <v>0</v>
      </c>
      <c r="G74" s="69"/>
      <c r="H74" s="314">
        <v>15437998032</v>
      </c>
      <c r="I74" s="26"/>
      <c r="J74" s="26"/>
      <c r="K74" s="26"/>
    </row>
    <row r="75" spans="1:12" ht="19.5" customHeight="1">
      <c r="A75" s="26"/>
      <c r="B75" s="3" t="s">
        <v>926</v>
      </c>
      <c r="C75" s="82"/>
      <c r="D75" s="674" t="s">
        <v>1356</v>
      </c>
      <c r="E75" s="82"/>
      <c r="F75" s="314">
        <v>326400000000</v>
      </c>
      <c r="G75" s="69"/>
      <c r="H75" s="314">
        <v>118088330715</v>
      </c>
      <c r="I75" s="26"/>
      <c r="J75" s="26"/>
      <c r="K75" s="26"/>
    </row>
    <row r="76" spans="1:12" ht="19.5" customHeight="1">
      <c r="A76" s="26"/>
      <c r="B76" s="3" t="s">
        <v>51</v>
      </c>
      <c r="C76" s="82"/>
      <c r="D76" s="82"/>
      <c r="E76" s="82"/>
      <c r="F76" s="314">
        <v>200595336533</v>
      </c>
      <c r="G76" s="69"/>
      <c r="H76" s="314">
        <v>257787594811</v>
      </c>
      <c r="I76" s="26"/>
      <c r="J76" s="26"/>
      <c r="K76" s="26"/>
    </row>
    <row r="77" spans="1:12" ht="19.5" customHeight="1" thickBot="1">
      <c r="A77" s="26"/>
      <c r="B77" s="82"/>
      <c r="C77" s="82"/>
      <c r="D77" s="82"/>
      <c r="E77" s="82"/>
      <c r="F77" s="316">
        <f>SUM(F70:F76)</f>
        <v>560965715370</v>
      </c>
      <c r="G77" s="69"/>
      <c r="H77" s="316">
        <f>SUM(H70:H76)</f>
        <v>415643017348</v>
      </c>
      <c r="I77" s="26"/>
      <c r="J77" s="26"/>
      <c r="K77" s="26"/>
    </row>
    <row r="78" spans="1:12" s="662" customFormat="1" ht="15" customHeight="1" thickTop="1">
      <c r="A78" s="26"/>
      <c r="B78" s="659"/>
      <c r="C78" s="659"/>
      <c r="D78" s="659"/>
      <c r="E78" s="659"/>
      <c r="F78" s="673"/>
      <c r="G78" s="69"/>
      <c r="H78" s="673"/>
      <c r="I78" s="26"/>
      <c r="J78" s="26"/>
      <c r="K78" s="26"/>
    </row>
    <row r="79" spans="1:12" ht="23.25" customHeight="1">
      <c r="A79" s="26"/>
      <c r="B79" s="890" t="s">
        <v>1357</v>
      </c>
      <c r="C79" s="890"/>
      <c r="D79" s="890"/>
      <c r="E79" s="890"/>
      <c r="F79" s="890"/>
      <c r="G79" s="890"/>
      <c r="H79" s="890"/>
      <c r="I79" s="26"/>
      <c r="J79" s="26"/>
      <c r="K79" s="26"/>
    </row>
    <row r="80" spans="1:12" ht="18.75" customHeight="1">
      <c r="A80" s="26"/>
      <c r="B80" s="875" t="s">
        <v>1358</v>
      </c>
      <c r="C80" s="875"/>
      <c r="D80" s="875"/>
      <c r="E80" s="82"/>
      <c r="F80" s="1"/>
      <c r="G80" s="1"/>
      <c r="H80" s="1"/>
      <c r="I80" s="26"/>
      <c r="J80" s="26"/>
      <c r="K80" s="26"/>
    </row>
    <row r="81" spans="1:11" ht="19.5" customHeight="1">
      <c r="A81" s="26"/>
      <c r="B81" s="82"/>
      <c r="C81" s="82"/>
      <c r="D81"/>
      <c r="E81" s="82"/>
      <c r="F81" s="32">
        <f>مفروضات!$C$3</f>
        <v>1402</v>
      </c>
      <c r="G81" s="33"/>
      <c r="H81" s="32">
        <f>مفروضات!$C$4</f>
        <v>1401</v>
      </c>
      <c r="I81" s="26"/>
      <c r="J81" s="26"/>
      <c r="K81" s="26"/>
    </row>
    <row r="82" spans="1:11" ht="19.5" customHeight="1">
      <c r="A82" s="26"/>
      <c r="B82" s="82"/>
      <c r="C82" s="82"/>
      <c r="D82"/>
      <c r="E82" s="82"/>
      <c r="F82" s="58" t="s">
        <v>103</v>
      </c>
      <c r="H82" s="58" t="s">
        <v>103</v>
      </c>
      <c r="I82" s="26"/>
      <c r="J82" s="26"/>
      <c r="K82" s="26"/>
    </row>
    <row r="83" spans="1:11" ht="19.5" customHeight="1">
      <c r="A83" s="26"/>
      <c r="B83" s="3" t="s">
        <v>302</v>
      </c>
      <c r="C83" s="82"/>
      <c r="D83" s="82"/>
      <c r="E83" s="82"/>
      <c r="F83" s="314">
        <v>794385793889</v>
      </c>
      <c r="G83" s="43"/>
      <c r="H83" s="314">
        <v>516391773581</v>
      </c>
      <c r="I83" s="26"/>
      <c r="J83" s="26"/>
      <c r="K83" s="26"/>
    </row>
    <row r="84" spans="1:11" ht="19.5" customHeight="1">
      <c r="A84" s="26"/>
      <c r="B84" s="3" t="s">
        <v>303</v>
      </c>
      <c r="C84" s="82"/>
      <c r="D84" s="82"/>
      <c r="E84" s="82"/>
      <c r="F84" s="314">
        <v>1271103694122</v>
      </c>
      <c r="G84" s="43"/>
      <c r="H84" s="314">
        <v>809406962507</v>
      </c>
      <c r="I84" s="26"/>
      <c r="J84" s="26"/>
      <c r="K84" s="26"/>
    </row>
    <row r="85" spans="1:11" ht="19.5" customHeight="1">
      <c r="A85" s="26"/>
      <c r="B85" s="3" t="s">
        <v>300</v>
      </c>
      <c r="C85" s="82"/>
      <c r="D85" s="82"/>
      <c r="E85" s="82"/>
      <c r="F85" s="314">
        <v>278134259722</v>
      </c>
      <c r="G85" s="43"/>
      <c r="H85" s="314">
        <f>24745715577+12927890345</f>
        <v>37673605922</v>
      </c>
      <c r="I85" s="26"/>
      <c r="J85" s="26"/>
      <c r="K85" s="26"/>
    </row>
    <row r="86" spans="1:11" ht="19.5" customHeight="1">
      <c r="A86" s="26"/>
      <c r="B86" s="3" t="s">
        <v>301</v>
      </c>
      <c r="C86" s="82"/>
      <c r="D86" s="82"/>
      <c r="E86" s="82"/>
      <c r="F86" s="314">
        <v>60602385558</v>
      </c>
      <c r="G86" s="43"/>
      <c r="H86" s="314">
        <v>39525643164</v>
      </c>
      <c r="I86" s="26"/>
      <c r="J86" s="26"/>
      <c r="K86" s="26"/>
    </row>
    <row r="87" spans="1:11" ht="19.5" customHeight="1">
      <c r="A87" s="26"/>
      <c r="B87" s="3" t="s">
        <v>304</v>
      </c>
      <c r="C87" s="82"/>
      <c r="D87" s="82"/>
      <c r="E87" s="82"/>
      <c r="F87" s="314">
        <v>8999021468</v>
      </c>
      <c r="G87" s="43"/>
      <c r="H87" s="314">
        <v>5228319643</v>
      </c>
      <c r="I87" s="26"/>
      <c r="J87" s="26"/>
      <c r="K87" s="26"/>
    </row>
    <row r="88" spans="1:11" ht="19.5" customHeight="1">
      <c r="A88" s="26"/>
      <c r="B88" s="3" t="s">
        <v>51</v>
      </c>
      <c r="C88" s="82"/>
      <c r="D88" s="82"/>
      <c r="E88" s="82"/>
      <c r="F88" s="314">
        <v>368853965441</v>
      </c>
      <c r="G88" s="43"/>
      <c r="H88" s="314">
        <v>311725964970</v>
      </c>
      <c r="I88" s="26"/>
      <c r="J88" s="26"/>
      <c r="K88" s="26"/>
    </row>
    <row r="89" spans="1:11" ht="19.5" customHeight="1" thickBot="1">
      <c r="A89" s="26"/>
      <c r="B89" s="82"/>
      <c r="C89" s="82"/>
      <c r="D89" s="82"/>
      <c r="E89" s="82"/>
      <c r="F89" s="316">
        <f>SUM(F83:F88)</f>
        <v>2782079120200</v>
      </c>
      <c r="G89" s="69"/>
      <c r="H89" s="316">
        <f>SUM(H83:H88)</f>
        <v>1719952269787</v>
      </c>
      <c r="I89" s="26"/>
      <c r="J89" s="26"/>
      <c r="K89" s="26"/>
    </row>
    <row r="90" spans="1:11" ht="19.5" customHeight="1" thickTop="1">
      <c r="A90" s="26"/>
      <c r="B90" s="82"/>
      <c r="C90" s="82"/>
      <c r="D90" s="82"/>
      <c r="E90" s="82"/>
      <c r="F90" s="137"/>
      <c r="G90" s="69"/>
      <c r="H90" s="137"/>
      <c r="I90" s="26"/>
      <c r="J90" s="26"/>
      <c r="K90" s="26"/>
    </row>
    <row r="91" spans="1:11" ht="21.75" customHeight="1">
      <c r="A91" s="26"/>
      <c r="B91" s="796" t="s">
        <v>1359</v>
      </c>
      <c r="C91" s="796"/>
      <c r="D91" s="796"/>
      <c r="E91" s="82"/>
      <c r="F91" s="82"/>
      <c r="G91" s="82"/>
      <c r="H91" s="82"/>
      <c r="I91" s="26"/>
      <c r="J91" s="26"/>
      <c r="K91" s="26"/>
    </row>
    <row r="92" spans="1:11" ht="19.5" customHeight="1">
      <c r="B92" s="1"/>
      <c r="D92" s="1"/>
      <c r="E92" s="31"/>
      <c r="F92" s="32">
        <f>مفروضات!$C$3</f>
        <v>1402</v>
      </c>
      <c r="G92" s="33"/>
      <c r="H92" s="32">
        <f>$H$29</f>
        <v>1401</v>
      </c>
      <c r="I92" s="34"/>
    </row>
    <row r="93" spans="1:11" ht="19.5" customHeight="1">
      <c r="B93" s="31"/>
      <c r="C93" s="31"/>
      <c r="D93" s="1"/>
      <c r="F93" s="58" t="s">
        <v>103</v>
      </c>
      <c r="H93" s="58" t="s">
        <v>103</v>
      </c>
    </row>
    <row r="94" spans="1:11" ht="19.5" customHeight="1">
      <c r="B94" s="280" t="s">
        <v>193</v>
      </c>
      <c r="C94" s="31"/>
      <c r="D94" s="1"/>
      <c r="F94" s="314">
        <v>36319526659</v>
      </c>
      <c r="G94" s="1"/>
      <c r="H94" s="314">
        <v>49933485932</v>
      </c>
    </row>
    <row r="95" spans="1:11" ht="19.5" customHeight="1">
      <c r="B95" s="341" t="s">
        <v>910</v>
      </c>
      <c r="C95" s="31"/>
      <c r="D95" s="1"/>
      <c r="F95" s="314">
        <v>18421316225</v>
      </c>
      <c r="G95" s="1"/>
      <c r="H95" s="314">
        <v>48895100303</v>
      </c>
    </row>
    <row r="96" spans="1:11" ht="19.5" customHeight="1" thickBot="1">
      <c r="B96" s="2"/>
      <c r="C96" s="31"/>
      <c r="D96" s="1"/>
      <c r="F96" s="316">
        <f>SUM(F94:F95)</f>
        <v>54740842884</v>
      </c>
      <c r="H96" s="316">
        <f>SUM(H94:H95)</f>
        <v>98828586235</v>
      </c>
    </row>
    <row r="97" spans="1:8" ht="21" customHeight="1" thickTop="1">
      <c r="A97" s="26"/>
      <c r="B97" s="796" t="s">
        <v>1360</v>
      </c>
      <c r="C97" s="796"/>
      <c r="D97" s="796"/>
      <c r="E97" s="82"/>
      <c r="F97" s="1"/>
      <c r="G97" s="1"/>
      <c r="H97" s="1"/>
    </row>
    <row r="98" spans="1:8" ht="25.5" customHeight="1">
      <c r="A98" s="26"/>
      <c r="B98" s="82"/>
      <c r="C98" s="82"/>
      <c r="D98" s="82"/>
      <c r="E98" s="82"/>
      <c r="F98" s="32">
        <f>مفروضات!$C$3</f>
        <v>1402</v>
      </c>
      <c r="G98" s="33"/>
      <c r="H98" s="32">
        <f>مفروضات!$C$4</f>
        <v>1401</v>
      </c>
    </row>
    <row r="99" spans="1:8" ht="25.5" customHeight="1">
      <c r="A99" s="26"/>
      <c r="B99" s="82"/>
      <c r="C99" s="82"/>
      <c r="D99" s="82"/>
      <c r="E99" s="82"/>
      <c r="F99" s="58" t="s">
        <v>103</v>
      </c>
      <c r="H99" s="58" t="s">
        <v>103</v>
      </c>
    </row>
    <row r="100" spans="1:8" ht="25.5" customHeight="1">
      <c r="A100" s="26"/>
      <c r="B100" s="287" t="s">
        <v>637</v>
      </c>
      <c r="C100" s="82"/>
      <c r="D100" s="82"/>
      <c r="E100" s="82"/>
      <c r="F100" s="314">
        <v>14004473556</v>
      </c>
      <c r="G100" s="1"/>
      <c r="H100" s="314">
        <v>21548790504</v>
      </c>
    </row>
    <row r="101" spans="1:8" ht="25.5" customHeight="1">
      <c r="A101" s="26"/>
      <c r="B101" s="287" t="s">
        <v>97</v>
      </c>
      <c r="C101" s="82"/>
      <c r="D101" s="82"/>
      <c r="E101" s="82"/>
      <c r="F101" s="314">
        <v>1000000000</v>
      </c>
      <c r="G101" s="1"/>
      <c r="H101" s="139">
        <v>0</v>
      </c>
    </row>
    <row r="102" spans="1:8" ht="25.5" customHeight="1" thickBot="1">
      <c r="A102" s="26"/>
      <c r="B102" s="82"/>
      <c r="C102" s="82"/>
      <c r="D102" s="82"/>
      <c r="E102" s="82"/>
      <c r="F102" s="316">
        <f>SUM(F100:F101)</f>
        <v>15004473556</v>
      </c>
      <c r="H102" s="316">
        <f>SUM(H100:H101)</f>
        <v>21548790504</v>
      </c>
    </row>
    <row r="103" spans="1:8" ht="21.75" thickTop="1"/>
  </sheetData>
  <mergeCells count="14">
    <mergeCell ref="B97:D97"/>
    <mergeCell ref="A1:I1"/>
    <mergeCell ref="A2:I2"/>
    <mergeCell ref="A3:I3"/>
    <mergeCell ref="B91:D91"/>
    <mergeCell ref="B5:H5"/>
    <mergeCell ref="B28:D28"/>
    <mergeCell ref="B46:H46"/>
    <mergeCell ref="B14:D14"/>
    <mergeCell ref="B12:H12"/>
    <mergeCell ref="B80:D80"/>
    <mergeCell ref="B26:H27"/>
    <mergeCell ref="B67:H67"/>
    <mergeCell ref="B79:H79"/>
  </mergeCells>
  <printOptions horizontalCentered="1"/>
  <pageMargins left="0.55118110236220497" right="0.70866141732283505" top="0.47244094488188998" bottom="0.74803149606299202" header="0.31496062992126" footer="0.31496062992126"/>
  <pageSetup paperSize="9" scale="85" firstPageNumber="38" orientation="portrait" useFirstPageNumber="1" r:id="rId1"/>
  <headerFooter>
    <oddFooter>&amp;C&amp;"B Nazanin,Regular"&amp;P</oddFooter>
  </headerFooter>
  <rowBreaks count="1" manualBreakCount="1">
    <brk id="45"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rightToLeft="1" view="pageBreakPreview" topLeftCell="A46" zoomScaleNormal="130" zoomScaleSheetLayoutView="100" workbookViewId="0">
      <selection activeCell="B54" sqref="B54"/>
    </sheetView>
  </sheetViews>
  <sheetFormatPr defaultColWidth="9" defaultRowHeight="21"/>
  <cols>
    <col min="1" max="1" width="1.28515625" style="1" customWidth="1"/>
    <col min="2" max="2" width="32.140625" style="59" customWidth="1"/>
    <col min="3" max="3" width="0.85546875" style="1" customWidth="1"/>
    <col min="4" max="4" width="15.140625" style="31" customWidth="1"/>
    <col min="5" max="5" width="1" style="1" customWidth="1"/>
    <col min="6" max="6" width="13.5703125" style="2" customWidth="1"/>
    <col min="7" max="7" width="1" style="2" customWidth="1"/>
    <col min="8" max="8" width="14.140625" style="2" customWidth="1"/>
    <col min="9" max="9" width="1" style="1" customWidth="1"/>
    <col min="10" max="10" width="3.140625" style="1" customWidth="1"/>
    <col min="11" max="11" width="46.140625" style="1" customWidth="1"/>
    <col min="12" max="12" width="17.140625" style="1" customWidth="1"/>
    <col min="13" max="16384" width="9" style="1"/>
  </cols>
  <sheetData>
    <row r="1" spans="1:13" ht="21.75">
      <c r="A1" s="765" t="str">
        <f>مفروضات!$C$1</f>
        <v>دانشگاه علوم پزشکی و خدمات بهداشتی درمانی سمنان</v>
      </c>
      <c r="B1" s="766"/>
      <c r="C1" s="766"/>
      <c r="D1" s="766"/>
      <c r="E1" s="766"/>
      <c r="F1" s="766"/>
      <c r="G1" s="766"/>
      <c r="H1" s="766"/>
      <c r="I1" s="81"/>
      <c r="J1" s="25"/>
      <c r="K1" s="25"/>
      <c r="L1" s="25"/>
      <c r="M1" s="25"/>
    </row>
    <row r="2" spans="1:13" s="26" customFormat="1">
      <c r="A2" s="6"/>
      <c r="B2" s="767" t="s">
        <v>33</v>
      </c>
      <c r="C2" s="767"/>
      <c r="D2" s="767"/>
      <c r="E2" s="767"/>
      <c r="F2" s="767"/>
      <c r="G2" s="767"/>
      <c r="H2" s="767"/>
      <c r="I2" s="767"/>
    </row>
    <row r="3" spans="1:13" ht="21.75">
      <c r="A3" s="6"/>
      <c r="B3" s="767" t="str">
        <f>مفروضات!$C$7</f>
        <v>سال مالي منتهي به 29 اسفند ماه 1402</v>
      </c>
      <c r="C3" s="767"/>
      <c r="D3" s="767"/>
      <c r="E3" s="767"/>
      <c r="F3" s="767"/>
      <c r="G3" s="767"/>
      <c r="H3" s="767"/>
      <c r="I3" s="767"/>
      <c r="J3" s="26"/>
    </row>
    <row r="4" spans="1:13" ht="21" customHeight="1">
      <c r="A4" s="26"/>
      <c r="B4" s="796" t="s">
        <v>1361</v>
      </c>
      <c r="C4" s="796"/>
      <c r="D4" s="796"/>
      <c r="E4" s="82"/>
      <c r="F4" s="82"/>
      <c r="G4" s="82"/>
      <c r="H4" s="82"/>
    </row>
    <row r="5" spans="1:13" ht="25.5" customHeight="1">
      <c r="B5" s="1"/>
      <c r="D5" s="1"/>
      <c r="E5" s="31"/>
      <c r="F5" s="32">
        <f>مفروضات!$C$3</f>
        <v>1402</v>
      </c>
      <c r="G5" s="33"/>
      <c r="H5" s="32">
        <f>مفروضات!$C$4</f>
        <v>1401</v>
      </c>
    </row>
    <row r="6" spans="1:13" ht="25.5" customHeight="1">
      <c r="B6" s="31"/>
      <c r="C6" s="31"/>
      <c r="D6" s="1"/>
      <c r="F6" s="58" t="s">
        <v>103</v>
      </c>
      <c r="H6" s="58" t="s">
        <v>103</v>
      </c>
    </row>
    <row r="7" spans="1:13" ht="25.5" customHeight="1">
      <c r="B7" s="74" t="s">
        <v>98</v>
      </c>
      <c r="C7" s="31"/>
      <c r="D7" s="1"/>
      <c r="F7" s="304">
        <v>1112416017839</v>
      </c>
      <c r="G7" s="1"/>
      <c r="H7" s="304">
        <v>864917223465</v>
      </c>
    </row>
    <row r="8" spans="1:13" ht="25.5" customHeight="1">
      <c r="B8" s="74" t="s">
        <v>99</v>
      </c>
      <c r="C8" s="31"/>
      <c r="D8" s="1"/>
      <c r="F8" s="304">
        <v>435341580370</v>
      </c>
      <c r="G8" s="1"/>
      <c r="H8" s="304">
        <f>343877273248+7041300</f>
        <v>343884314548</v>
      </c>
    </row>
    <row r="9" spans="1:13" ht="25.5" customHeight="1">
      <c r="B9" s="74" t="s">
        <v>100</v>
      </c>
      <c r="C9" s="31"/>
      <c r="D9" s="1"/>
      <c r="F9" s="304">
        <v>209481246983</v>
      </c>
      <c r="G9" s="1"/>
      <c r="H9" s="304">
        <v>239506996786</v>
      </c>
    </row>
    <row r="10" spans="1:13" ht="25.5" customHeight="1">
      <c r="B10" s="74" t="s">
        <v>101</v>
      </c>
      <c r="C10" s="31"/>
      <c r="D10" s="1"/>
      <c r="F10" s="304">
        <v>695045000</v>
      </c>
      <c r="H10" s="304">
        <v>477075500</v>
      </c>
    </row>
    <row r="11" spans="1:13" ht="25.5" customHeight="1">
      <c r="B11" s="74" t="s">
        <v>387</v>
      </c>
      <c r="C11" s="31"/>
      <c r="D11" s="1"/>
      <c r="F11" s="304">
        <f>25961460915</f>
        <v>25961460915</v>
      </c>
      <c r="H11" s="304">
        <v>16405131517</v>
      </c>
    </row>
    <row r="12" spans="1:13" ht="25.5" customHeight="1" thickBot="1">
      <c r="B12" s="31"/>
      <c r="C12" s="31"/>
      <c r="D12" s="1"/>
      <c r="F12" s="312">
        <f>SUM(F7:F11)</f>
        <v>1783895351107</v>
      </c>
      <c r="G12" s="313"/>
      <c r="H12" s="312">
        <f>SUM(H7:H11)</f>
        <v>1465190741816</v>
      </c>
    </row>
    <row r="13" spans="1:13" ht="21" customHeight="1" thickTop="1">
      <c r="A13" s="26"/>
      <c r="B13" s="82" t="s">
        <v>1362</v>
      </c>
      <c r="C13" s="289"/>
      <c r="D13" s="1"/>
      <c r="E13" s="82"/>
      <c r="F13" s="82"/>
      <c r="G13" s="82"/>
      <c r="H13" s="82"/>
    </row>
    <row r="14" spans="1:13" ht="25.5" customHeight="1">
      <c r="B14" s="1"/>
      <c r="D14" s="119" t="s">
        <v>116</v>
      </c>
      <c r="E14" s="31"/>
      <c r="F14" s="32">
        <f>مفروضات!$C$3</f>
        <v>1402</v>
      </c>
      <c r="G14" s="33"/>
      <c r="H14" s="32">
        <f>مفروضات!$C$4</f>
        <v>1401</v>
      </c>
    </row>
    <row r="15" spans="1:13" ht="25.5" customHeight="1">
      <c r="B15" s="31"/>
      <c r="C15" s="31"/>
      <c r="D15" s="1"/>
      <c r="F15" s="58" t="s">
        <v>103</v>
      </c>
      <c r="H15" s="58" t="s">
        <v>103</v>
      </c>
    </row>
    <row r="16" spans="1:13" ht="25.5" customHeight="1">
      <c r="B16" s="74" t="s">
        <v>550</v>
      </c>
      <c r="C16" s="31"/>
      <c r="D16" s="1"/>
      <c r="F16" s="314">
        <v>81574951893</v>
      </c>
      <c r="G16" s="43"/>
      <c r="H16" s="314">
        <v>46912357787</v>
      </c>
    </row>
    <row r="17" spans="1:16" ht="25.5" customHeight="1">
      <c r="B17" s="74" t="s">
        <v>551</v>
      </c>
      <c r="C17" s="31"/>
      <c r="D17" s="2" t="s">
        <v>1042</v>
      </c>
      <c r="F17" s="314">
        <f>F26</f>
        <v>1766387962515</v>
      </c>
      <c r="G17" s="43"/>
      <c r="H17" s="314">
        <f>H26</f>
        <v>934102662299</v>
      </c>
    </row>
    <row r="18" spans="1:16" ht="25.5" customHeight="1" thickBot="1">
      <c r="B18" s="31"/>
      <c r="C18" s="31"/>
      <c r="D18" s="1"/>
      <c r="F18" s="312">
        <f>SUM(F16:F17)</f>
        <v>1847962914408</v>
      </c>
      <c r="G18" s="69"/>
      <c r="H18" s="312">
        <f>SUM(H16:H17)</f>
        <v>981015020086</v>
      </c>
    </row>
    <row r="19" spans="1:16" s="5" customFormat="1" ht="25.5" thickTop="1">
      <c r="B19" s="280" t="s">
        <v>1363</v>
      </c>
      <c r="C19" s="31"/>
      <c r="D19" s="1"/>
      <c r="E19" s="1"/>
      <c r="F19" s="69"/>
      <c r="G19" s="69"/>
      <c r="H19" s="69"/>
      <c r="I19" s="77"/>
      <c r="J19" s="77"/>
      <c r="K19" s="77"/>
      <c r="L19" s="77"/>
      <c r="M19" s="77"/>
      <c r="N19" s="77"/>
      <c r="O19" s="77"/>
      <c r="P19" s="77"/>
    </row>
    <row r="20" spans="1:16" s="5" customFormat="1">
      <c r="B20" s="31"/>
      <c r="C20" s="31"/>
      <c r="D20" s="1"/>
      <c r="E20" s="1"/>
      <c r="F20" s="32">
        <f>مفروضات!$C$3</f>
        <v>1402</v>
      </c>
      <c r="G20" s="33"/>
      <c r="H20" s="32">
        <f>مفروضات!$C$4</f>
        <v>1401</v>
      </c>
      <c r="I20" s="77"/>
      <c r="J20" s="77"/>
      <c r="K20" s="77"/>
      <c r="L20" s="77"/>
      <c r="M20" s="77"/>
      <c r="N20" s="77"/>
      <c r="O20" s="77"/>
      <c r="P20" s="77"/>
    </row>
    <row r="21" spans="1:16" s="5" customFormat="1" ht="37.5" customHeight="1">
      <c r="B21" s="31"/>
      <c r="C21" s="31"/>
      <c r="D21" s="1"/>
      <c r="E21" s="1"/>
      <c r="F21" s="58" t="s">
        <v>103</v>
      </c>
      <c r="G21" s="2"/>
      <c r="H21" s="58" t="s">
        <v>103</v>
      </c>
      <c r="I21" s="77"/>
      <c r="J21" s="77"/>
      <c r="K21" s="469" t="s">
        <v>1041</v>
      </c>
      <c r="L21" s="77"/>
      <c r="M21" s="77"/>
      <c r="N21" s="77"/>
      <c r="O21" s="77"/>
      <c r="P21" s="77"/>
    </row>
    <row r="22" spans="1:16" s="5" customFormat="1">
      <c r="B22" s="280" t="s">
        <v>398</v>
      </c>
      <c r="C22" s="31"/>
      <c r="D22" s="1"/>
      <c r="E22" s="1"/>
      <c r="F22" s="314">
        <v>1186619673580</v>
      </c>
      <c r="G22" s="1"/>
      <c r="H22" s="314">
        <v>418162548578</v>
      </c>
      <c r="I22" s="77"/>
      <c r="J22" s="77"/>
      <c r="K22" s="77"/>
      <c r="L22" s="77"/>
      <c r="M22" s="77"/>
      <c r="N22" s="77"/>
      <c r="O22" s="77"/>
      <c r="P22" s="77"/>
    </row>
    <row r="23" spans="1:16" s="5" customFormat="1">
      <c r="B23" s="280" t="s">
        <v>399</v>
      </c>
      <c r="C23" s="31"/>
      <c r="D23" s="1"/>
      <c r="E23" s="1"/>
      <c r="F23" s="314">
        <v>454572872387</v>
      </c>
      <c r="G23" s="1"/>
      <c r="H23" s="314">
        <v>436235335559</v>
      </c>
      <c r="I23" s="77"/>
      <c r="J23" s="77"/>
      <c r="K23" s="77"/>
      <c r="L23" s="77"/>
      <c r="M23" s="77"/>
      <c r="N23" s="77"/>
      <c r="O23" s="77"/>
      <c r="P23" s="77"/>
    </row>
    <row r="24" spans="1:16" s="5" customFormat="1">
      <c r="B24" s="280" t="s">
        <v>400</v>
      </c>
      <c r="C24" s="31"/>
      <c r="D24" s="1"/>
      <c r="E24" s="1"/>
      <c r="F24" s="139">
        <v>0</v>
      </c>
      <c r="G24" s="1"/>
      <c r="H24" s="139">
        <v>0</v>
      </c>
      <c r="I24" s="77"/>
      <c r="J24" s="77"/>
      <c r="K24" s="77"/>
      <c r="L24" s="77"/>
      <c r="M24" s="77"/>
      <c r="N24" s="77"/>
      <c r="O24" s="77"/>
      <c r="P24" s="77"/>
    </row>
    <row r="25" spans="1:16" s="5" customFormat="1">
      <c r="B25" s="280" t="s">
        <v>51</v>
      </c>
      <c r="C25" s="31"/>
      <c r="D25" s="1"/>
      <c r="E25" s="1"/>
      <c r="F25" s="314">
        <v>125195416548</v>
      </c>
      <c r="G25" s="1"/>
      <c r="H25" s="314">
        <v>79704778162</v>
      </c>
      <c r="I25" s="77"/>
      <c r="J25" s="77"/>
      <c r="K25" s="477"/>
      <c r="L25" s="77"/>
      <c r="M25" s="77"/>
      <c r="N25" s="77"/>
      <c r="O25" s="77"/>
      <c r="P25" s="77"/>
    </row>
    <row r="26" spans="1:16" s="5" customFormat="1" ht="21.75" thickBot="1">
      <c r="B26" s="31"/>
      <c r="C26" s="31"/>
      <c r="D26" s="1"/>
      <c r="E26" s="1"/>
      <c r="F26" s="316">
        <f>SUM(F22:F25)</f>
        <v>1766387962515</v>
      </c>
      <c r="G26" s="2"/>
      <c r="H26" s="316">
        <f>H22+H23+H24+H25</f>
        <v>934102662299</v>
      </c>
      <c r="I26" s="77"/>
      <c r="J26" s="77"/>
      <c r="K26" s="77"/>
      <c r="L26" s="77"/>
      <c r="M26" s="77"/>
      <c r="N26" s="77"/>
      <c r="O26" s="77"/>
      <c r="P26" s="77"/>
    </row>
    <row r="27" spans="1:16" ht="21" customHeight="1" thickTop="1">
      <c r="A27" s="26"/>
      <c r="E27" s="82"/>
      <c r="F27" s="82"/>
      <c r="G27" s="82"/>
      <c r="H27" s="82"/>
    </row>
    <row r="28" spans="1:16" ht="21" customHeight="1">
      <c r="A28" s="26"/>
      <c r="B28" s="809" t="str">
        <f>مفروضات!$C$1</f>
        <v>دانشگاه علوم پزشکی و خدمات بهداشتی درمانی سمنان</v>
      </c>
      <c r="C28" s="886"/>
      <c r="D28" s="886"/>
      <c r="E28" s="886"/>
      <c r="F28" s="886"/>
      <c r="G28" s="886"/>
      <c r="H28" s="886"/>
    </row>
    <row r="29" spans="1:16" ht="21" customHeight="1">
      <c r="A29" s="26"/>
      <c r="B29" s="886" t="s">
        <v>33</v>
      </c>
      <c r="C29" s="886"/>
      <c r="D29" s="886"/>
      <c r="E29" s="886"/>
      <c r="F29" s="886"/>
      <c r="G29" s="886"/>
      <c r="H29" s="886"/>
    </row>
    <row r="30" spans="1:16" ht="21" customHeight="1">
      <c r="A30" s="26"/>
      <c r="B30" s="809" t="str">
        <f>مفروضات!$C$7</f>
        <v>سال مالي منتهي به 29 اسفند ماه 1402</v>
      </c>
      <c r="C30" s="886"/>
      <c r="D30" s="886"/>
      <c r="E30" s="886"/>
      <c r="F30" s="886"/>
      <c r="G30" s="886"/>
      <c r="H30" s="886"/>
    </row>
    <row r="31" spans="1:16" ht="21" customHeight="1">
      <c r="A31" s="26"/>
      <c r="B31" s="796" t="s">
        <v>1364</v>
      </c>
      <c r="C31" s="796"/>
      <c r="D31" s="796"/>
      <c r="E31" s="82"/>
      <c r="F31" s="82"/>
      <c r="G31" s="82"/>
      <c r="H31" s="82"/>
    </row>
    <row r="32" spans="1:16" ht="25.5" customHeight="1">
      <c r="B32" s="1"/>
      <c r="D32" s="119" t="s">
        <v>116</v>
      </c>
      <c r="E32" s="31"/>
      <c r="F32" s="32">
        <f>مفروضات!$C$3</f>
        <v>1402</v>
      </c>
      <c r="G32" s="33"/>
      <c r="H32" s="32">
        <f>مفروضات!$C$4</f>
        <v>1401</v>
      </c>
    </row>
    <row r="33" spans="2:8" ht="25.5" customHeight="1">
      <c r="B33" s="31"/>
      <c r="C33" s="31"/>
      <c r="D33" s="1"/>
      <c r="F33" s="58" t="s">
        <v>103</v>
      </c>
      <c r="H33" s="58" t="s">
        <v>103</v>
      </c>
    </row>
    <row r="34" spans="2:8" ht="25.5" customHeight="1">
      <c r="B34" s="77" t="s">
        <v>363</v>
      </c>
      <c r="C34" s="31"/>
      <c r="D34" s="2" t="s">
        <v>1365</v>
      </c>
      <c r="F34" s="314">
        <f>F45</f>
        <v>543887331312</v>
      </c>
      <c r="G34" s="1"/>
      <c r="H34" s="314">
        <f>H45</f>
        <v>493210523324</v>
      </c>
    </row>
    <row r="35" spans="2:8" ht="25.5" customHeight="1" thickBot="1">
      <c r="B35" s="31"/>
      <c r="C35" s="31"/>
      <c r="D35" s="1"/>
      <c r="F35" s="316">
        <f>SUM(F34:F34)</f>
        <v>543887331312</v>
      </c>
      <c r="H35" s="316">
        <f>SUM(H34:H34)</f>
        <v>493210523324</v>
      </c>
    </row>
    <row r="36" spans="2:8" ht="22.5" thickTop="1">
      <c r="B36" s="796" t="s">
        <v>1366</v>
      </c>
      <c r="C36" s="796"/>
      <c r="D36" s="796"/>
      <c r="F36" s="58"/>
      <c r="H36" s="58"/>
    </row>
    <row r="37" spans="2:8" ht="21.75">
      <c r="B37" s="82"/>
      <c r="C37" s="82"/>
      <c r="D37" s="82"/>
      <c r="F37" s="32">
        <f>مفروضات!$C$3</f>
        <v>1402</v>
      </c>
      <c r="G37" s="33"/>
      <c r="H37" s="32">
        <f>مفروضات!$C$4</f>
        <v>1401</v>
      </c>
    </row>
    <row r="38" spans="2:8" ht="21.75">
      <c r="B38" s="82"/>
      <c r="C38" s="82"/>
      <c r="D38" s="91"/>
      <c r="F38" s="58" t="s">
        <v>103</v>
      </c>
      <c r="H38" s="58" t="s">
        <v>103</v>
      </c>
    </row>
    <row r="39" spans="2:8">
      <c r="B39" s="77" t="s">
        <v>175</v>
      </c>
      <c r="F39" s="315">
        <v>78000788559</v>
      </c>
      <c r="H39" s="315">
        <v>59067930160</v>
      </c>
    </row>
    <row r="40" spans="2:8">
      <c r="B40" s="77" t="s">
        <v>162</v>
      </c>
      <c r="F40" s="315">
        <v>24838689483</v>
      </c>
      <c r="H40" s="315">
        <v>23506935217</v>
      </c>
    </row>
    <row r="41" spans="2:8">
      <c r="B41" s="3" t="s">
        <v>163</v>
      </c>
      <c r="F41" s="315">
        <v>194967982084</v>
      </c>
      <c r="H41" s="315">
        <v>167435646714</v>
      </c>
    </row>
    <row r="42" spans="2:8">
      <c r="B42" s="3" t="s">
        <v>164</v>
      </c>
      <c r="F42" s="315">
        <v>176896391824</v>
      </c>
      <c r="H42" s="315">
        <v>173848742588</v>
      </c>
    </row>
    <row r="43" spans="2:8">
      <c r="B43" s="288" t="s">
        <v>747</v>
      </c>
      <c r="F43" s="315">
        <v>67807636169</v>
      </c>
      <c r="H43" s="315">
        <v>69147182754</v>
      </c>
    </row>
    <row r="44" spans="2:8" ht="27">
      <c r="B44" s="459" t="s">
        <v>748</v>
      </c>
      <c r="F44" s="315">
        <v>1375843193</v>
      </c>
      <c r="H44" s="315">
        <v>204085891</v>
      </c>
    </row>
    <row r="45" spans="2:8" ht="24.75" customHeight="1" thickBot="1">
      <c r="F45" s="316">
        <f>SUM(F39:F44)</f>
        <v>543887331312</v>
      </c>
      <c r="H45" s="316">
        <f>SUM(H39:H44)</f>
        <v>493210523324</v>
      </c>
    </row>
    <row r="46" spans="2:8" ht="21.75" thickTop="1"/>
    <row r="47" spans="2:8" ht="21.75">
      <c r="B47" s="883" t="s">
        <v>1367</v>
      </c>
      <c r="C47" s="883"/>
      <c r="D47" s="883"/>
      <c r="E47" s="883"/>
      <c r="F47" s="883"/>
      <c r="G47" s="883"/>
      <c r="H47" s="883"/>
    </row>
    <row r="48" spans="2:8">
      <c r="D48" s="119" t="s">
        <v>116</v>
      </c>
      <c r="F48" s="114">
        <f>مفروضات!$C$3</f>
        <v>1402</v>
      </c>
      <c r="H48" s="92">
        <f>مفروضات!$C$4</f>
        <v>1401</v>
      </c>
    </row>
    <row r="49" spans="2:8">
      <c r="F49" s="20" t="s">
        <v>103</v>
      </c>
      <c r="H49" s="20" t="s">
        <v>103</v>
      </c>
    </row>
    <row r="50" spans="2:8">
      <c r="B50" s="3" t="s">
        <v>60</v>
      </c>
      <c r="D50" s="53" t="s">
        <v>1368</v>
      </c>
      <c r="F50" s="462">
        <v>547394730</v>
      </c>
      <c r="H50" s="462">
        <v>794676450</v>
      </c>
    </row>
    <row r="51" spans="2:8" ht="21.75" thickBot="1">
      <c r="D51" s="14"/>
      <c r="F51" s="461">
        <f>SUM(F50:F50)</f>
        <v>547394730</v>
      </c>
      <c r="H51" s="461">
        <f>SUM(H50:H50)</f>
        <v>794676450</v>
      </c>
    </row>
    <row r="52" spans="2:8" ht="21.75" thickTop="1"/>
    <row r="53" spans="2:8">
      <c r="B53" s="813" t="s">
        <v>1369</v>
      </c>
      <c r="C53" s="813"/>
      <c r="D53" s="813"/>
      <c r="E53" s="813"/>
      <c r="F53" s="813"/>
      <c r="G53" s="813"/>
      <c r="H53" s="813"/>
    </row>
  </sheetData>
  <mergeCells count="11">
    <mergeCell ref="B47:H47"/>
    <mergeCell ref="B53:H53"/>
    <mergeCell ref="B28:H28"/>
    <mergeCell ref="B29:H29"/>
    <mergeCell ref="B30:H30"/>
    <mergeCell ref="B36:D36"/>
    <mergeCell ref="B4:D4"/>
    <mergeCell ref="A1:H1"/>
    <mergeCell ref="B2:I2"/>
    <mergeCell ref="B3:I3"/>
    <mergeCell ref="B31:D31"/>
  </mergeCells>
  <printOptions horizontalCentered="1"/>
  <pageMargins left="0.55118110236220497" right="0.70866141732283505" top="0.47244094488188998" bottom="0.74803149606299202" header="0.31496062992126" footer="0.31496062992126"/>
  <pageSetup paperSize="9" scale="90" firstPageNumber="41" orientation="portrait" useFirstPageNumber="1" r:id="rId1"/>
  <headerFooter>
    <oddFooter>&amp;C&amp;"B Nazanin,Regular"&amp;P</oddFooter>
  </headerFooter>
  <rowBreaks count="1" manualBreakCount="1">
    <brk id="26"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rightToLeft="1" view="pageBreakPreview" zoomScaleNormal="130" zoomScaleSheetLayoutView="100" zoomScalePageLayoutView="115" workbookViewId="0">
      <selection activeCell="B47" sqref="B47"/>
    </sheetView>
  </sheetViews>
  <sheetFormatPr defaultColWidth="9" defaultRowHeight="19.5"/>
  <cols>
    <col min="1" max="1" width="2.7109375" style="5" customWidth="1"/>
    <col min="2" max="2" width="37.7109375" style="19" bestFit="1" customWidth="1"/>
    <col min="3" max="3" width="6.140625" style="5" bestFit="1" customWidth="1"/>
    <col min="4" max="4" width="0.42578125" style="5" customWidth="1"/>
    <col min="5" max="5" width="18.7109375" style="14" customWidth="1"/>
    <col min="6" max="6" width="0.42578125" style="5" customWidth="1"/>
    <col min="7" max="7" width="21.5703125" style="15" customWidth="1"/>
    <col min="8" max="8" width="0.28515625" style="5" customWidth="1"/>
    <col min="9" max="9" width="1.140625" style="5" customWidth="1"/>
    <col min="10" max="10" width="28.140625" style="5" customWidth="1"/>
    <col min="11" max="11" width="17.140625" style="5" customWidth="1"/>
    <col min="12" max="12" width="20.28515625" style="5" customWidth="1"/>
    <col min="13" max="13" width="15.5703125" style="5" bestFit="1" customWidth="1"/>
    <col min="14" max="16384" width="9" style="5"/>
  </cols>
  <sheetData>
    <row r="1" spans="1:13" ht="20.25">
      <c r="A1" s="765" t="str">
        <f>مفروضات!$C$1</f>
        <v>دانشگاه علوم پزشکی و خدمات بهداشتی درمانی سمنان</v>
      </c>
      <c r="B1" s="766"/>
      <c r="C1" s="766"/>
      <c r="D1" s="766"/>
      <c r="E1" s="766"/>
      <c r="F1" s="766"/>
      <c r="G1" s="766"/>
      <c r="H1" s="81"/>
      <c r="I1" s="4"/>
      <c r="J1" s="4"/>
      <c r="K1" s="4"/>
      <c r="L1" s="4"/>
    </row>
    <row r="2" spans="1:13" s="26" customFormat="1" ht="21">
      <c r="A2" s="6"/>
      <c r="B2" s="767" t="s">
        <v>33</v>
      </c>
      <c r="C2" s="767"/>
      <c r="D2" s="767"/>
      <c r="E2" s="767"/>
      <c r="F2" s="767"/>
      <c r="G2" s="767"/>
      <c r="H2" s="767"/>
      <c r="I2" s="27"/>
    </row>
    <row r="3" spans="1:13" s="1" customFormat="1" ht="21.75">
      <c r="A3" s="6"/>
      <c r="B3" s="767" t="str">
        <f>مفروضات!$C$7</f>
        <v>سال مالي منتهي به 29 اسفند ماه 1402</v>
      </c>
      <c r="C3" s="767"/>
      <c r="D3" s="767"/>
      <c r="E3" s="767"/>
      <c r="F3" s="767"/>
      <c r="G3" s="767"/>
      <c r="H3" s="767"/>
      <c r="I3" s="27"/>
      <c r="J3" s="26"/>
      <c r="K3" s="26"/>
      <c r="L3" s="26"/>
      <c r="M3" s="26"/>
    </row>
    <row r="4" spans="1:13" ht="20.25">
      <c r="A4" s="6"/>
      <c r="B4" s="72" t="s">
        <v>1370</v>
      </c>
      <c r="C4" s="72"/>
      <c r="D4" s="72"/>
      <c r="E4" s="72"/>
      <c r="F4" s="72"/>
      <c r="G4" s="72"/>
    </row>
    <row r="5" spans="1:13" ht="21">
      <c r="B5" s="77"/>
      <c r="C5" s="188" t="s">
        <v>116</v>
      </c>
      <c r="D5" s="77"/>
      <c r="E5" s="114">
        <f>مفروضات!$C$3</f>
        <v>1402</v>
      </c>
      <c r="F5" s="14"/>
      <c r="G5" s="92">
        <f>مفروضات!$C$4</f>
        <v>1401</v>
      </c>
    </row>
    <row r="6" spans="1:13" ht="21">
      <c r="A6" s="1"/>
      <c r="B6" s="77"/>
      <c r="C6" s="1"/>
      <c r="D6" s="1"/>
      <c r="E6" s="20" t="s">
        <v>103</v>
      </c>
      <c r="G6" s="20" t="s">
        <v>103</v>
      </c>
      <c r="H6" s="6"/>
      <c r="I6" s="6"/>
      <c r="J6" s="6"/>
      <c r="K6" s="6"/>
      <c r="L6" s="6"/>
    </row>
    <row r="7" spans="1:13" ht="21">
      <c r="A7" s="1"/>
      <c r="B7" s="3" t="s">
        <v>59</v>
      </c>
      <c r="C7" s="53" t="s">
        <v>1371</v>
      </c>
      <c r="D7" s="44"/>
      <c r="E7" s="304">
        <f>E20</f>
        <v>111341813749</v>
      </c>
      <c r="F7" s="456"/>
      <c r="G7" s="304">
        <f>G20</f>
        <v>103267469112</v>
      </c>
      <c r="H7" s="18"/>
    </row>
    <row r="8" spans="1:13" s="1" customFormat="1" ht="21">
      <c r="B8" s="3" t="s">
        <v>405</v>
      </c>
      <c r="C8" s="53" t="s">
        <v>1372</v>
      </c>
      <c r="D8" s="44"/>
      <c r="E8" s="304">
        <f>E28</f>
        <v>15803313670</v>
      </c>
      <c r="F8" s="456"/>
      <c r="G8" s="304">
        <f>G28</f>
        <v>10402036389</v>
      </c>
    </row>
    <row r="9" spans="1:13" s="1" customFormat="1" ht="21" hidden="1">
      <c r="B9" s="3" t="s">
        <v>57</v>
      </c>
      <c r="C9" s="44"/>
      <c r="D9" s="44"/>
      <c r="E9" s="304">
        <v>0</v>
      </c>
      <c r="F9" s="456"/>
      <c r="G9" s="304">
        <v>0</v>
      </c>
    </row>
    <row r="10" spans="1:13" s="1" customFormat="1" ht="21.75" thickBot="1">
      <c r="A10" s="5"/>
      <c r="B10" s="77"/>
      <c r="C10" s="5"/>
      <c r="D10" s="5"/>
      <c r="E10" s="309">
        <f>SUM(E7:E9)</f>
        <v>127145127419</v>
      </c>
      <c r="F10" s="456"/>
      <c r="G10" s="309">
        <f>SUM(G7:G9)</f>
        <v>113669505501</v>
      </c>
    </row>
    <row r="11" spans="1:13" s="1" customFormat="1" ht="21.75" thickTop="1">
      <c r="A11" s="5"/>
      <c r="B11" s="77"/>
      <c r="C11" s="5"/>
      <c r="D11" s="5"/>
      <c r="E11" s="315"/>
      <c r="F11" s="456"/>
      <c r="G11" s="315"/>
    </row>
    <row r="12" spans="1:13" s="1" customFormat="1" ht="21">
      <c r="A12" s="6"/>
      <c r="B12" s="72" t="s">
        <v>1373</v>
      </c>
      <c r="C12" s="72"/>
      <c r="D12" s="72"/>
      <c r="E12" s="72"/>
      <c r="F12" s="72"/>
      <c r="G12" s="72"/>
    </row>
    <row r="13" spans="1:13" ht="21">
      <c r="B13" s="77"/>
      <c r="C13"/>
      <c r="D13" s="77"/>
      <c r="E13" s="114">
        <f>مفروضات!$C$3</f>
        <v>1402</v>
      </c>
      <c r="F13" s="14"/>
      <c r="G13" s="92">
        <f>مفروضات!$C$4</f>
        <v>1401</v>
      </c>
    </row>
    <row r="14" spans="1:13" ht="21">
      <c r="A14" s="1"/>
      <c r="B14" s="77"/>
      <c r="C14"/>
      <c r="D14" s="1"/>
      <c r="E14" s="20" t="s">
        <v>103</v>
      </c>
      <c r="G14" s="20" t="s">
        <v>103</v>
      </c>
    </row>
    <row r="15" spans="1:13" ht="21">
      <c r="A15" s="1"/>
      <c r="B15" s="93" t="s">
        <v>254</v>
      </c>
      <c r="C15" s="1"/>
      <c r="D15" s="1"/>
      <c r="E15" s="304">
        <v>80958100095</v>
      </c>
      <c r="F15" s="456"/>
      <c r="G15" s="304">
        <v>73446391164</v>
      </c>
      <c r="H15" s="6"/>
      <c r="I15" s="6"/>
      <c r="J15" s="6"/>
      <c r="K15" s="464">
        <v>14.02</v>
      </c>
      <c r="L15" s="6"/>
    </row>
    <row r="16" spans="1:13" ht="21">
      <c r="A16" s="1"/>
      <c r="B16" s="93" t="s">
        <v>255</v>
      </c>
      <c r="C16" s="1"/>
      <c r="D16" s="1"/>
      <c r="E16" s="304">
        <v>4436756393</v>
      </c>
      <c r="F16" s="456"/>
      <c r="G16" s="304">
        <v>12580885681</v>
      </c>
      <c r="H16" s="18"/>
      <c r="J16" s="6"/>
      <c r="K16" s="464"/>
    </row>
    <row r="17" spans="1:13" s="1" customFormat="1" ht="21">
      <c r="B17" s="93" t="s">
        <v>256</v>
      </c>
      <c r="E17" s="304">
        <v>4095467439</v>
      </c>
      <c r="F17" s="456"/>
      <c r="G17" s="304">
        <v>1093990059</v>
      </c>
      <c r="J17" s="6">
        <f>G16+G17</f>
        <v>13674875740</v>
      </c>
      <c r="K17" s="6">
        <f>E16+E17</f>
        <v>8532223832</v>
      </c>
    </row>
    <row r="18" spans="1:13" s="1" customFormat="1" ht="21">
      <c r="B18" s="93" t="s">
        <v>257</v>
      </c>
      <c r="E18" s="304">
        <v>14668022240</v>
      </c>
      <c r="F18" s="456"/>
      <c r="G18" s="304">
        <v>9170701794</v>
      </c>
      <c r="J18" s="691">
        <f>G16/J17</f>
        <v>0.92000000001462534</v>
      </c>
      <c r="K18" s="464">
        <f>E17/K17</f>
        <v>0.47999999995780701</v>
      </c>
    </row>
    <row r="19" spans="1:13" s="1" customFormat="1" ht="21">
      <c r="B19" s="93" t="s">
        <v>258</v>
      </c>
      <c r="E19" s="304">
        <v>7183467582</v>
      </c>
      <c r="F19" s="456"/>
      <c r="G19" s="304">
        <v>6975500414</v>
      </c>
      <c r="J19" s="691">
        <f>G17/J17</f>
        <v>7.9999999985374645E-2</v>
      </c>
      <c r="K19" s="464">
        <v>0.52</v>
      </c>
    </row>
    <row r="20" spans="1:13" ht="21.75" thickBot="1">
      <c r="B20" s="77"/>
      <c r="E20" s="309">
        <f>SUM(E15:E19)</f>
        <v>111341813749</v>
      </c>
      <c r="F20" s="456"/>
      <c r="G20" s="309">
        <f>SUM(F15:G19)</f>
        <v>103267469112</v>
      </c>
      <c r="J20" s="691"/>
    </row>
    <row r="21" spans="1:13" s="1" customFormat="1" ht="21.75" thickTop="1">
      <c r="A21" s="6"/>
      <c r="B21" s="879" t="s">
        <v>1374</v>
      </c>
      <c r="C21" s="879"/>
      <c r="D21" s="72"/>
      <c r="E21" s="463"/>
      <c r="F21" s="463"/>
      <c r="G21" s="463"/>
    </row>
    <row r="22" spans="1:13" ht="21">
      <c r="B22" s="77"/>
      <c r="C22"/>
      <c r="D22" s="77"/>
      <c r="E22" s="114">
        <f>مفروضات!$C$3</f>
        <v>1402</v>
      </c>
      <c r="F22" s="14"/>
      <c r="G22" s="92">
        <f>مفروضات!$C$4</f>
        <v>1401</v>
      </c>
      <c r="K22" s="5">
        <f>E49-E42-E36-E16-E17-E18-E19-'29-32'!F50-E28</f>
        <v>80958100095</v>
      </c>
    </row>
    <row r="23" spans="1:13" ht="21">
      <c r="A23" s="1"/>
      <c r="B23" s="77"/>
      <c r="C23"/>
      <c r="D23" s="1"/>
      <c r="E23" s="20" t="s">
        <v>103</v>
      </c>
      <c r="G23" s="20" t="s">
        <v>103</v>
      </c>
      <c r="M23" s="5">
        <f>E24/0.03</f>
        <v>519344182400</v>
      </c>
    </row>
    <row r="24" spans="1:13" ht="21">
      <c r="A24" s="1"/>
      <c r="B24" s="93" t="s">
        <v>254</v>
      </c>
      <c r="C24" s="1"/>
      <c r="D24" s="1"/>
      <c r="E24" s="304">
        <v>15580325472</v>
      </c>
      <c r="F24" s="304"/>
      <c r="G24" s="304">
        <v>10264994029</v>
      </c>
      <c r="H24" s="6"/>
      <c r="I24" s="6"/>
      <c r="J24" s="6"/>
      <c r="K24" s="6">
        <f>G49-G44-G28-G16-G17-G18-G19-'29-32'!H51</f>
        <v>73446391164</v>
      </c>
      <c r="L24" s="6"/>
      <c r="M24" s="5">
        <f>M23*0.03</f>
        <v>15580325472</v>
      </c>
    </row>
    <row r="25" spans="1:13" ht="21" hidden="1">
      <c r="A25" s="1"/>
      <c r="B25" s="93" t="s">
        <v>255</v>
      </c>
      <c r="C25" s="1"/>
      <c r="D25" s="1"/>
      <c r="E25" s="304">
        <v>0</v>
      </c>
      <c r="F25" s="304"/>
      <c r="G25" s="304">
        <v>0</v>
      </c>
      <c r="H25" s="18"/>
    </row>
    <row r="26" spans="1:13" s="1" customFormat="1" ht="21">
      <c r="B26" s="93" t="s">
        <v>256</v>
      </c>
      <c r="E26" s="304">
        <v>222988198</v>
      </c>
      <c r="F26" s="304"/>
      <c r="G26" s="304">
        <v>137042360</v>
      </c>
      <c r="M26" s="1">
        <f>M23*0.97</f>
        <v>503763856928</v>
      </c>
    </row>
    <row r="27" spans="1:13" s="1" customFormat="1" ht="21" hidden="1">
      <c r="B27" s="93" t="s">
        <v>638</v>
      </c>
      <c r="E27" s="304">
        <v>0</v>
      </c>
      <c r="F27" s="304"/>
      <c r="G27" s="304">
        <v>0</v>
      </c>
    </row>
    <row r="28" spans="1:13" ht="21.75" thickBot="1">
      <c r="B28" s="77"/>
      <c r="E28" s="309">
        <f>SUM(E24:E27)</f>
        <v>15803313670</v>
      </c>
      <c r="F28" s="1"/>
      <c r="G28" s="309">
        <f>SUM(F24:G27)</f>
        <v>10402036389</v>
      </c>
    </row>
    <row r="29" spans="1:13" s="1" customFormat="1" ht="21.75" thickTop="1">
      <c r="A29" s="6"/>
      <c r="C29" s="72"/>
      <c r="D29" s="72"/>
      <c r="E29" s="72"/>
      <c r="F29" s="72"/>
      <c r="G29" s="72"/>
    </row>
    <row r="30" spans="1:13" s="1" customFormat="1" ht="21">
      <c r="A30" s="6"/>
      <c r="B30" s="767" t="str">
        <f>مفروضات!$C$1</f>
        <v>دانشگاه علوم پزشکی و خدمات بهداشتی درمانی سمنان</v>
      </c>
      <c r="C30" s="891"/>
      <c r="D30" s="891"/>
      <c r="E30" s="891"/>
      <c r="F30" s="891"/>
      <c r="G30" s="891"/>
      <c r="H30" s="891"/>
      <c r="I30" s="891"/>
      <c r="M30" s="1">
        <f>G24+G26</f>
        <v>10402036389</v>
      </c>
    </row>
    <row r="31" spans="1:13" s="1" customFormat="1" ht="21">
      <c r="A31" s="6"/>
      <c r="B31" s="891" t="s">
        <v>33</v>
      </c>
      <c r="C31" s="891"/>
      <c r="D31" s="891"/>
      <c r="E31" s="891"/>
      <c r="F31" s="891"/>
      <c r="G31" s="891"/>
      <c r="L31" s="1">
        <f>M31*3%</f>
        <v>10402036389</v>
      </c>
      <c r="M31" s="1">
        <f>M30/3%</f>
        <v>346734546300</v>
      </c>
    </row>
    <row r="32" spans="1:13" s="1" customFormat="1" ht="21">
      <c r="A32" s="6"/>
      <c r="B32" s="767" t="str">
        <f>مفروضات!$C$7</f>
        <v>سال مالي منتهي به 29 اسفند ماه 1402</v>
      </c>
      <c r="C32" s="891"/>
      <c r="D32" s="891"/>
      <c r="E32" s="891"/>
      <c r="F32" s="891"/>
      <c r="G32" s="891"/>
      <c r="M32" s="1">
        <f>M31*97%</f>
        <v>336332509911</v>
      </c>
    </row>
    <row r="33" spans="1:12" s="1" customFormat="1" ht="21">
      <c r="A33" s="6"/>
      <c r="B33" s="72" t="s">
        <v>1375</v>
      </c>
      <c r="C33" s="72"/>
      <c r="D33" s="72"/>
      <c r="E33" s="72"/>
      <c r="F33" s="72"/>
      <c r="G33" s="72"/>
    </row>
    <row r="34" spans="1:12" s="1" customFormat="1" ht="21">
      <c r="A34" s="6"/>
      <c r="B34" s="72"/>
      <c r="C34" s="72"/>
      <c r="D34" s="72"/>
      <c r="E34" s="114">
        <f>مفروضات!$C$3</f>
        <v>1402</v>
      </c>
      <c r="F34" s="14"/>
      <c r="G34" s="92">
        <f>مفروضات!$C$4</f>
        <v>1401</v>
      </c>
    </row>
    <row r="35" spans="1:12" s="1" customFormat="1" ht="21">
      <c r="B35" s="77"/>
      <c r="E35" s="20" t="s">
        <v>103</v>
      </c>
      <c r="F35" s="5"/>
      <c r="G35" s="20" t="s">
        <v>103</v>
      </c>
    </row>
    <row r="36" spans="1:12" s="1" customFormat="1" ht="21">
      <c r="B36" s="3" t="s">
        <v>937</v>
      </c>
      <c r="C36" s="44"/>
      <c r="D36" s="44"/>
      <c r="E36" s="304">
        <v>132000000</v>
      </c>
      <c r="F36" s="304"/>
      <c r="G36" s="440">
        <v>0</v>
      </c>
    </row>
    <row r="37" spans="1:12" s="1" customFormat="1" ht="21.75" thickBot="1">
      <c r="A37" s="5"/>
      <c r="B37" s="77"/>
      <c r="C37" s="5"/>
      <c r="D37" s="5"/>
      <c r="E37" s="309">
        <f>SUM(E36:E36)</f>
        <v>132000000</v>
      </c>
      <c r="G37" s="695">
        <v>0</v>
      </c>
    </row>
    <row r="38" spans="1:12" s="676" customFormat="1" ht="13.5" customHeight="1" thickTop="1">
      <c r="A38" s="5"/>
      <c r="B38" s="675"/>
      <c r="C38" s="5"/>
      <c r="D38" s="5"/>
      <c r="E38" s="677"/>
      <c r="G38" s="677"/>
    </row>
    <row r="39" spans="1:12" s="1" customFormat="1" ht="21">
      <c r="A39" s="6"/>
      <c r="B39" s="72" t="s">
        <v>1376</v>
      </c>
      <c r="C39" s="72"/>
      <c r="D39" s="72"/>
      <c r="E39" s="72"/>
      <c r="F39" s="72"/>
      <c r="G39" s="72"/>
    </row>
    <row r="40" spans="1:12" ht="21">
      <c r="B40" s="77"/>
      <c r="C40" s="77"/>
      <c r="D40" s="77"/>
      <c r="E40" s="114">
        <f>مفروضات!$C$3</f>
        <v>1402</v>
      </c>
      <c r="F40" s="14"/>
      <c r="G40" s="92">
        <f>مفروضات!$C$4</f>
        <v>1401</v>
      </c>
    </row>
    <row r="41" spans="1:12" ht="21">
      <c r="A41" s="1"/>
      <c r="B41" s="77"/>
      <c r="C41" s="1"/>
      <c r="D41" s="1"/>
      <c r="E41" s="20" t="s">
        <v>103</v>
      </c>
      <c r="G41" s="20" t="s">
        <v>103</v>
      </c>
    </row>
    <row r="42" spans="1:12" ht="21">
      <c r="A42" s="1"/>
      <c r="B42" s="3" t="s">
        <v>61</v>
      </c>
      <c r="C42" s="44"/>
      <c r="D42" s="44"/>
      <c r="E42" s="304">
        <v>772024535</v>
      </c>
      <c r="F42" s="304"/>
      <c r="G42" s="304">
        <v>18864593</v>
      </c>
      <c r="H42" s="6"/>
      <c r="I42" s="6"/>
      <c r="J42" s="6"/>
      <c r="K42" s="6"/>
      <c r="L42" s="6"/>
    </row>
    <row r="43" spans="1:12" ht="21">
      <c r="A43" s="1"/>
      <c r="B43" s="3" t="s">
        <v>938</v>
      </c>
      <c r="C43" s="44"/>
      <c r="D43" s="44"/>
      <c r="E43" s="139">
        <v>0</v>
      </c>
      <c r="F43" s="304"/>
      <c r="G43" s="304">
        <v>935259638</v>
      </c>
      <c r="H43" s="6"/>
      <c r="I43" s="6"/>
      <c r="J43" s="6"/>
      <c r="K43" s="6"/>
      <c r="L43" s="6"/>
    </row>
    <row r="44" spans="1:12" s="1" customFormat="1" ht="21.75" thickBot="1">
      <c r="A44" s="5"/>
      <c r="B44" s="5"/>
      <c r="C44" s="5"/>
      <c r="D44" s="5"/>
      <c r="E44" s="309">
        <f>SUM(E42:E43)</f>
        <v>772024535</v>
      </c>
      <c r="G44" s="309">
        <f>SUM(G42:G43)</f>
        <v>954124231</v>
      </c>
    </row>
    <row r="45" spans="1:12" ht="20.25" thickTop="1">
      <c r="B45" s="5"/>
      <c r="E45" s="5"/>
      <c r="G45" s="5"/>
    </row>
    <row r="46" spans="1:12" ht="20.25">
      <c r="B46" s="879" t="s">
        <v>1377</v>
      </c>
      <c r="C46" s="879"/>
      <c r="D46" s="879"/>
      <c r="E46" s="879"/>
      <c r="F46" s="879"/>
      <c r="G46" s="879"/>
    </row>
    <row r="47" spans="1:12" ht="20.25">
      <c r="E47" s="114">
        <f>مفروضات!$C$3</f>
        <v>1402</v>
      </c>
      <c r="F47" s="14"/>
      <c r="G47" s="92">
        <f>مفروضات!$C$4</f>
        <v>1401</v>
      </c>
      <c r="H47" s="6"/>
      <c r="I47" s="6"/>
      <c r="J47" s="6"/>
      <c r="K47" s="6"/>
      <c r="L47" s="6"/>
    </row>
    <row r="48" spans="1:12">
      <c r="E48" s="20" t="s">
        <v>103</v>
      </c>
      <c r="G48" s="20" t="s">
        <v>103</v>
      </c>
      <c r="H48" s="18"/>
    </row>
    <row r="49" spans="1:7" s="1" customFormat="1" ht="21">
      <c r="A49" s="5"/>
      <c r="B49" s="90" t="s">
        <v>58</v>
      </c>
      <c r="C49" s="5"/>
      <c r="D49" s="5"/>
      <c r="E49" s="304">
        <v>128596546684</v>
      </c>
      <c r="F49" s="304"/>
      <c r="G49" s="304">
        <v>115418306182</v>
      </c>
    </row>
    <row r="50" spans="1:7" s="1" customFormat="1" ht="21" hidden="1">
      <c r="A50" s="5"/>
      <c r="B50" s="90" t="s">
        <v>390</v>
      </c>
      <c r="C50" s="5"/>
      <c r="D50" s="5"/>
      <c r="E50" s="304">
        <v>0</v>
      </c>
      <c r="F50" s="304"/>
      <c r="G50" s="304">
        <v>0</v>
      </c>
    </row>
    <row r="51" spans="1:7" s="1" customFormat="1" ht="21" hidden="1">
      <c r="A51" s="5"/>
      <c r="B51" s="90" t="s">
        <v>391</v>
      </c>
      <c r="C51" s="5"/>
      <c r="D51" s="5"/>
      <c r="E51" s="304">
        <v>0</v>
      </c>
      <c r="F51" s="304"/>
      <c r="G51" s="304">
        <v>0</v>
      </c>
    </row>
    <row r="52" spans="1:7" s="1" customFormat="1" ht="21" hidden="1">
      <c r="A52" s="5"/>
      <c r="B52" s="90" t="s">
        <v>494</v>
      </c>
      <c r="C52" s="5"/>
      <c r="D52" s="5"/>
      <c r="E52" s="304">
        <v>0</v>
      </c>
      <c r="F52" s="304"/>
      <c r="G52" s="304">
        <v>0</v>
      </c>
    </row>
    <row r="53" spans="1:7" s="1" customFormat="1" ht="21.75" thickBot="1">
      <c r="A53" s="5"/>
      <c r="B53" s="19"/>
      <c r="C53" s="5"/>
      <c r="D53" s="5"/>
      <c r="E53" s="309">
        <f>SUM(E49:E52)</f>
        <v>128596546684</v>
      </c>
      <c r="G53" s="309">
        <f>SUM(G49:G52)</f>
        <v>115418306182</v>
      </c>
    </row>
    <row r="54" spans="1:7" ht="20.25" thickTop="1"/>
  </sheetData>
  <mergeCells count="8">
    <mergeCell ref="A1:G1"/>
    <mergeCell ref="B2:H2"/>
    <mergeCell ref="B3:H3"/>
    <mergeCell ref="B46:G46"/>
    <mergeCell ref="B21:C21"/>
    <mergeCell ref="B30:I30"/>
    <mergeCell ref="B31:G31"/>
    <mergeCell ref="B32:G32"/>
  </mergeCells>
  <pageMargins left="0.70866141732283505" right="0.70866141732283505" top="0.74803149606299202" bottom="0.74803149606299202" header="0.31496062992126" footer="0.31496062992126"/>
  <pageSetup firstPageNumber="43" orientation="portrait" useFirstPageNumber="1" r:id="rId1"/>
  <headerFooter>
    <oddFooter>&amp;C&amp;"B Nazanin,Regular"&amp;14&amp;P</oddFooter>
  </headerFooter>
  <rowBreaks count="1" manualBreakCount="1">
    <brk id="28" min="1"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26"/>
  <sheetViews>
    <sheetView rightToLeft="1" view="pageBreakPreview" topLeftCell="A19" zoomScaleNormal="120" zoomScaleSheetLayoutView="100" workbookViewId="0">
      <selection activeCell="N29" sqref="N29"/>
    </sheetView>
  </sheetViews>
  <sheetFormatPr defaultColWidth="9" defaultRowHeight="27"/>
  <cols>
    <col min="1" max="1" width="1" style="482" customWidth="1"/>
    <col min="2" max="2" width="37.42578125" style="472" customWidth="1"/>
    <col min="3" max="3" width="0.42578125" style="482" customWidth="1"/>
    <col min="4" max="4" width="0.42578125" style="506" hidden="1" customWidth="1"/>
    <col min="5" max="5" width="1" style="482" hidden="1" customWidth="1"/>
    <col min="6" max="6" width="14" style="482" customWidth="1"/>
    <col min="7" max="7" width="0.7109375" style="482" hidden="1" customWidth="1"/>
    <col min="8" max="8" width="20.7109375" style="482" customWidth="1"/>
    <col min="9" max="9" width="0.7109375" style="482" customWidth="1"/>
    <col min="10" max="10" width="18.42578125" style="482" customWidth="1"/>
    <col min="11" max="11" width="0.42578125" style="482" customWidth="1"/>
    <col min="12" max="12" width="13.42578125" style="482" customWidth="1"/>
    <col min="13" max="13" width="0.42578125" style="482" customWidth="1"/>
    <col min="14" max="14" width="24.28515625" style="482" customWidth="1"/>
    <col min="15" max="15" width="1" style="482" customWidth="1"/>
    <col min="16" max="17" width="20.7109375" style="482" customWidth="1"/>
    <col min="18" max="18" width="26.42578125" style="482" bestFit="1" customWidth="1"/>
    <col min="19" max="19" width="23.42578125" style="482" bestFit="1" customWidth="1"/>
    <col min="20" max="20" width="9" style="482"/>
    <col min="21" max="21" width="19.140625" style="482" bestFit="1" customWidth="1"/>
    <col min="22" max="16384" width="9" style="482"/>
  </cols>
  <sheetData>
    <row r="1" spans="1:20" ht="30">
      <c r="A1" s="895" t="s">
        <v>1060</v>
      </c>
      <c r="B1" s="895"/>
      <c r="C1" s="895"/>
      <c r="D1" s="895"/>
      <c r="E1" s="895"/>
      <c r="F1" s="895"/>
      <c r="G1" s="895"/>
      <c r="H1" s="895"/>
      <c r="I1" s="895"/>
      <c r="J1" s="895"/>
      <c r="K1" s="895"/>
      <c r="L1" s="895"/>
      <c r="M1" s="895"/>
      <c r="N1" s="895"/>
      <c r="O1" s="895"/>
      <c r="P1" s="895"/>
      <c r="Q1" s="480"/>
      <c r="R1" s="481"/>
      <c r="S1" s="481"/>
      <c r="T1" s="481"/>
    </row>
    <row r="2" spans="1:20" s="485" customFormat="1" ht="30">
      <c r="A2" s="896" t="s">
        <v>33</v>
      </c>
      <c r="B2" s="896"/>
      <c r="C2" s="896"/>
      <c r="D2" s="896"/>
      <c r="E2" s="896"/>
      <c r="F2" s="896"/>
      <c r="G2" s="896"/>
      <c r="H2" s="896"/>
      <c r="I2" s="896"/>
      <c r="J2" s="896"/>
      <c r="K2" s="896"/>
      <c r="L2" s="896"/>
      <c r="M2" s="896"/>
      <c r="N2" s="896"/>
      <c r="O2" s="896"/>
      <c r="P2" s="896"/>
      <c r="Q2" s="483"/>
      <c r="R2" s="484"/>
      <c r="S2" s="484"/>
      <c r="T2" s="484"/>
    </row>
    <row r="3" spans="1:20" ht="30">
      <c r="A3" s="896" t="s">
        <v>1070</v>
      </c>
      <c r="B3" s="896"/>
      <c r="C3" s="896"/>
      <c r="D3" s="896"/>
      <c r="E3" s="896"/>
      <c r="F3" s="896"/>
      <c r="G3" s="896"/>
      <c r="H3" s="896"/>
      <c r="I3" s="896"/>
      <c r="J3" s="896"/>
      <c r="K3" s="896"/>
      <c r="L3" s="896"/>
      <c r="M3" s="896"/>
      <c r="N3" s="896"/>
      <c r="O3" s="896"/>
      <c r="P3" s="896"/>
      <c r="Q3" s="483"/>
      <c r="R3" s="481"/>
      <c r="S3" s="481"/>
      <c r="T3" s="481"/>
    </row>
    <row r="4" spans="1:20" ht="27.75">
      <c r="A4" s="486"/>
      <c r="B4" s="486"/>
      <c r="C4" s="486"/>
      <c r="D4" s="486"/>
      <c r="E4" s="486"/>
      <c r="F4" s="486"/>
      <c r="G4" s="486"/>
      <c r="H4" s="486"/>
      <c r="I4" s="486"/>
      <c r="J4" s="486"/>
      <c r="K4" s="486"/>
      <c r="L4" s="486"/>
      <c r="M4" s="486"/>
      <c r="N4" s="486"/>
      <c r="O4" s="486"/>
      <c r="P4" s="486"/>
      <c r="Q4" s="486"/>
      <c r="R4" s="481"/>
      <c r="S4" s="481"/>
      <c r="T4" s="481"/>
    </row>
    <row r="5" spans="1:20" ht="24.75" customHeight="1">
      <c r="A5" s="487"/>
      <c r="B5" s="792" t="s">
        <v>1378</v>
      </c>
      <c r="C5" s="792"/>
      <c r="D5" s="792"/>
      <c r="E5" s="792"/>
      <c r="F5" s="792"/>
      <c r="G5" s="792"/>
      <c r="H5" s="488"/>
      <c r="I5" s="488"/>
      <c r="J5" s="488"/>
      <c r="K5" s="488"/>
      <c r="L5" s="487"/>
      <c r="M5" s="487"/>
      <c r="N5" s="487"/>
      <c r="O5" s="487"/>
      <c r="P5" s="487"/>
      <c r="Q5" s="487"/>
    </row>
    <row r="6" spans="1:20" ht="27.75">
      <c r="A6" s="487"/>
      <c r="B6" s="487"/>
      <c r="C6" s="487"/>
      <c r="D6" s="487"/>
      <c r="E6" s="487"/>
      <c r="F6" s="487"/>
      <c r="G6" s="487"/>
      <c r="H6" s="487"/>
      <c r="I6" s="487"/>
      <c r="J6" s="487"/>
      <c r="K6" s="487"/>
      <c r="L6" s="487"/>
      <c r="M6" s="487"/>
      <c r="N6" s="489">
        <v>1402</v>
      </c>
      <c r="O6" s="490"/>
      <c r="P6" s="489">
        <v>1401</v>
      </c>
      <c r="Q6" s="490"/>
    </row>
    <row r="7" spans="1:20" ht="27.75">
      <c r="A7" s="487"/>
      <c r="B7" s="487"/>
      <c r="C7" s="487"/>
      <c r="D7" s="487"/>
      <c r="E7" s="487"/>
      <c r="F7" s="487"/>
      <c r="G7" s="487"/>
      <c r="H7" s="487"/>
      <c r="I7" s="487"/>
      <c r="J7" s="487"/>
      <c r="K7" s="487"/>
      <c r="L7" s="487"/>
      <c r="M7" s="487"/>
      <c r="N7" s="491" t="s">
        <v>70</v>
      </c>
      <c r="O7" s="490"/>
      <c r="P7" s="491" t="s">
        <v>70</v>
      </c>
      <c r="Q7" s="492"/>
    </row>
    <row r="8" spans="1:20" s="497" customFormat="1" ht="27.75" customHeight="1">
      <c r="A8" s="493"/>
      <c r="B8" s="897" t="s">
        <v>1061</v>
      </c>
      <c r="C8" s="897"/>
      <c r="D8" s="897"/>
      <c r="E8" s="897"/>
      <c r="F8" s="897"/>
      <c r="G8" s="493"/>
      <c r="H8" s="493"/>
      <c r="I8" s="493"/>
      <c r="J8" s="493"/>
      <c r="K8" s="493"/>
      <c r="L8" s="493"/>
      <c r="M8" s="493"/>
      <c r="N8" s="512">
        <v>0</v>
      </c>
      <c r="O8" s="495"/>
      <c r="P8" s="494">
        <v>-1626570724</v>
      </c>
      <c r="Q8" s="496"/>
    </row>
    <row r="9" spans="1:20" s="497" customFormat="1" ht="23.25" customHeight="1">
      <c r="A9" s="493"/>
      <c r="B9" s="897" t="s">
        <v>1062</v>
      </c>
      <c r="C9" s="897"/>
      <c r="D9" s="897"/>
      <c r="E9" s="897"/>
      <c r="F9" s="897"/>
      <c r="G9" s="493"/>
      <c r="H9" s="487"/>
      <c r="I9" s="493"/>
      <c r="J9" s="493"/>
      <c r="K9" s="493"/>
      <c r="L9" s="493"/>
      <c r="M9" s="493"/>
      <c r="N9" s="494">
        <v>45305960152</v>
      </c>
      <c r="O9" s="495"/>
      <c r="P9" s="494">
        <v>-191790620790</v>
      </c>
      <c r="Q9" s="496"/>
    </row>
    <row r="10" spans="1:20" s="497" customFormat="1" ht="24.75" customHeight="1">
      <c r="A10" s="493"/>
      <c r="B10" s="499" t="s">
        <v>25</v>
      </c>
      <c r="C10" s="499"/>
      <c r="D10" s="499"/>
      <c r="E10" s="499"/>
      <c r="F10" s="499"/>
      <c r="G10" s="493"/>
      <c r="H10" s="487"/>
      <c r="I10" s="493"/>
      <c r="J10" s="493"/>
      <c r="K10" s="493"/>
      <c r="L10" s="493"/>
      <c r="M10" s="493"/>
      <c r="N10" s="512">
        <v>0</v>
      </c>
      <c r="O10" s="495"/>
      <c r="P10" s="494">
        <v>-566679039477</v>
      </c>
      <c r="Q10" s="496"/>
    </row>
    <row r="11" spans="1:20" s="497" customFormat="1" ht="24" customHeight="1">
      <c r="A11" s="493"/>
      <c r="B11" s="499" t="s">
        <v>1063</v>
      </c>
      <c r="C11" s="499"/>
      <c r="D11" s="499"/>
      <c r="E11" s="499"/>
      <c r="F11" s="499"/>
      <c r="G11" s="493"/>
      <c r="H11" s="487"/>
      <c r="I11" s="493"/>
      <c r="J11" s="493"/>
      <c r="K11" s="493"/>
      <c r="L11" s="493"/>
      <c r="M11" s="493"/>
      <c r="N11" s="512">
        <v>0</v>
      </c>
      <c r="O11" s="495"/>
      <c r="P11" s="494">
        <v>230964261313</v>
      </c>
      <c r="Q11" s="496"/>
    </row>
    <row r="12" spans="1:20" ht="28.5" thickBot="1">
      <c r="A12" s="487"/>
      <c r="B12" s="487"/>
      <c r="C12" s="487"/>
      <c r="D12" s="487"/>
      <c r="E12" s="487"/>
      <c r="F12" s="487"/>
      <c r="G12" s="487"/>
      <c r="H12" s="487"/>
      <c r="I12" s="487"/>
      <c r="J12" s="487"/>
      <c r="K12" s="487"/>
      <c r="L12" s="487"/>
      <c r="M12" s="487"/>
      <c r="N12" s="500">
        <f>SUM(N8:N11)</f>
        <v>45305960152</v>
      </c>
      <c r="O12" s="501"/>
      <c r="P12" s="500">
        <f>SUM(P8:P11)</f>
        <v>-529131969678</v>
      </c>
      <c r="Q12" s="502"/>
    </row>
    <row r="13" spans="1:20" ht="10.5" customHeight="1" thickTop="1">
      <c r="A13" s="485"/>
      <c r="B13" s="792"/>
      <c r="C13" s="792"/>
      <c r="D13" s="792"/>
      <c r="E13" s="792"/>
      <c r="F13" s="792"/>
      <c r="G13" s="792"/>
      <c r="H13" s="488"/>
      <c r="I13" s="488"/>
      <c r="J13" s="488"/>
      <c r="K13" s="488"/>
      <c r="L13" s="485"/>
      <c r="N13" s="503"/>
      <c r="S13" s="498"/>
    </row>
    <row r="14" spans="1:20" ht="60.75" customHeight="1">
      <c r="B14" s="898" t="s">
        <v>1379</v>
      </c>
      <c r="C14" s="898"/>
      <c r="D14" s="898"/>
      <c r="E14" s="898"/>
      <c r="F14" s="898"/>
      <c r="G14" s="898"/>
      <c r="H14" s="898"/>
      <c r="I14" s="898"/>
      <c r="J14" s="898"/>
      <c r="K14" s="898"/>
      <c r="L14" s="898"/>
      <c r="M14" s="898"/>
      <c r="N14" s="898"/>
      <c r="O14" s="898"/>
      <c r="P14" s="898"/>
      <c r="Q14" s="504"/>
    </row>
    <row r="15" spans="1:20">
      <c r="C15" s="505"/>
      <c r="D15" s="505"/>
      <c r="E15" s="505"/>
      <c r="F15" s="505"/>
      <c r="G15" s="505"/>
      <c r="H15" s="505"/>
      <c r="I15" s="505"/>
      <c r="J15" s="505"/>
      <c r="K15" s="505"/>
      <c r="L15" s="505"/>
      <c r="M15" s="505"/>
      <c r="N15" s="505"/>
      <c r="O15" s="505"/>
      <c r="P15" s="505"/>
      <c r="Q15" s="505"/>
    </row>
    <row r="16" spans="1:20" ht="28.15" customHeight="1">
      <c r="F16" s="899" t="s">
        <v>1141</v>
      </c>
      <c r="G16" s="485"/>
      <c r="H16" s="892" t="s">
        <v>1064</v>
      </c>
      <c r="I16" s="892"/>
      <c r="J16" s="892"/>
      <c r="K16" s="485"/>
      <c r="L16" s="892" t="s">
        <v>1065</v>
      </c>
      <c r="M16" s="892"/>
      <c r="N16" s="892"/>
      <c r="O16" s="485"/>
      <c r="P16" s="893" t="s">
        <v>1140</v>
      </c>
      <c r="Q16" s="507"/>
    </row>
    <row r="17" spans="2:17" ht="57.75" customHeight="1">
      <c r="F17" s="900"/>
      <c r="G17" s="508"/>
      <c r="H17" s="509" t="s">
        <v>1066</v>
      </c>
      <c r="I17" s="473"/>
      <c r="J17" s="509" t="s">
        <v>1067</v>
      </c>
      <c r="K17" s="508"/>
      <c r="L17" s="509" t="s">
        <v>1066</v>
      </c>
      <c r="M17" s="473"/>
      <c r="N17" s="509" t="s">
        <v>1067</v>
      </c>
      <c r="O17" s="508"/>
      <c r="P17" s="894"/>
      <c r="Q17" s="507"/>
    </row>
    <row r="18" spans="2:17" ht="52.5">
      <c r="F18" s="491" t="s">
        <v>70</v>
      </c>
      <c r="G18" s="473"/>
      <c r="H18" s="491" t="s">
        <v>70</v>
      </c>
      <c r="I18" s="473"/>
      <c r="J18" s="491" t="s">
        <v>70</v>
      </c>
      <c r="K18" s="473"/>
      <c r="L18" s="491" t="s">
        <v>70</v>
      </c>
      <c r="M18" s="485"/>
      <c r="N18" s="491" t="s">
        <v>70</v>
      </c>
      <c r="O18" s="473"/>
      <c r="P18" s="491" t="s">
        <v>70</v>
      </c>
      <c r="Q18" s="492"/>
    </row>
    <row r="19" spans="2:17">
      <c r="B19" s="510" t="s">
        <v>1068</v>
      </c>
      <c r="F19" s="494"/>
      <c r="G19" s="494"/>
      <c r="H19" s="494"/>
      <c r="I19" s="494"/>
      <c r="J19" s="494"/>
      <c r="K19" s="494"/>
      <c r="L19" s="494"/>
      <c r="M19" s="511"/>
      <c r="N19" s="494"/>
      <c r="O19" s="494"/>
      <c r="P19" s="494"/>
      <c r="Q19" s="512"/>
    </row>
    <row r="20" spans="2:17">
      <c r="B20" s="499" t="s">
        <v>1071</v>
      </c>
      <c r="C20" s="499"/>
      <c r="D20" s="499"/>
      <c r="F20" s="494">
        <v>1444514324607</v>
      </c>
      <c r="G20" s="494"/>
      <c r="H20" s="494">
        <v>45305960152</v>
      </c>
      <c r="I20" s="494"/>
      <c r="J20" s="494">
        <v>0</v>
      </c>
      <c r="K20" s="494"/>
      <c r="L20" s="494"/>
      <c r="M20" s="494"/>
      <c r="N20" s="494"/>
      <c r="O20" s="494"/>
      <c r="P20" s="494">
        <f>F20+H20-J20</f>
        <v>1489820284759</v>
      </c>
      <c r="Q20" s="494"/>
    </row>
    <row r="21" spans="2:17" ht="24" customHeight="1">
      <c r="B21" s="513"/>
      <c r="C21" s="514"/>
      <c r="D21" s="515"/>
      <c r="E21" s="514"/>
      <c r="F21" s="494"/>
      <c r="G21" s="494"/>
      <c r="H21" s="704">
        <f>SUM(H20:H20)</f>
        <v>45305960152</v>
      </c>
      <c r="I21" s="494"/>
      <c r="J21" s="704">
        <f>SUM(J20:J20)</f>
        <v>0</v>
      </c>
      <c r="K21" s="494"/>
      <c r="L21" s="704">
        <f>SUM(L20:L20)</f>
        <v>0</v>
      </c>
      <c r="M21" s="494"/>
      <c r="N21" s="704">
        <f>SUM(N20:N20)</f>
        <v>0</v>
      </c>
      <c r="O21" s="494"/>
      <c r="P21" s="494"/>
      <c r="Q21" s="494"/>
    </row>
    <row r="22" spans="2:17" ht="24" customHeight="1">
      <c r="B22" s="510" t="s">
        <v>1069</v>
      </c>
      <c r="C22" s="514"/>
      <c r="D22" s="515"/>
      <c r="E22" s="514"/>
      <c r="F22" s="494"/>
      <c r="G22" s="494"/>
      <c r="H22" s="494"/>
      <c r="I22" s="494"/>
      <c r="J22" s="494"/>
      <c r="K22" s="494"/>
      <c r="L22" s="494"/>
      <c r="M22" s="512"/>
      <c r="N22" s="494"/>
      <c r="O22" s="494"/>
      <c r="P22" s="494"/>
      <c r="Q22" s="494"/>
    </row>
    <row r="23" spans="2:17" ht="24" customHeight="1">
      <c r="B23" s="516" t="s">
        <v>1072</v>
      </c>
      <c r="C23" s="514"/>
      <c r="D23" s="515"/>
      <c r="E23" s="514"/>
      <c r="F23" s="494">
        <v>4096223370245</v>
      </c>
      <c r="G23" s="494"/>
      <c r="H23" s="494"/>
      <c r="I23" s="494"/>
      <c r="J23" s="494">
        <v>45305960152</v>
      </c>
      <c r="K23" s="494"/>
      <c r="L23" s="494"/>
      <c r="M23" s="512"/>
      <c r="N23" s="494"/>
      <c r="O23" s="494"/>
      <c r="P23" s="494">
        <f>F23+J23</f>
        <v>4141529330397</v>
      </c>
      <c r="Q23" s="494"/>
    </row>
    <row r="24" spans="2:17">
      <c r="H24" s="704"/>
      <c r="J24" s="704">
        <f>J23</f>
        <v>45305960152</v>
      </c>
      <c r="L24" s="704"/>
      <c r="N24" s="704"/>
    </row>
    <row r="25" spans="2:17" ht="28.5" thickBot="1">
      <c r="H25" s="705">
        <v>45306</v>
      </c>
      <c r="J25" s="500">
        <f>J24</f>
        <v>45305960152</v>
      </c>
      <c r="L25" s="500"/>
      <c r="N25" s="500"/>
    </row>
    <row r="26" spans="2:17" ht="27.75" thickTop="1"/>
  </sheetData>
  <mergeCells count="12">
    <mergeCell ref="L16:N16"/>
    <mergeCell ref="P16:P17"/>
    <mergeCell ref="A1:P1"/>
    <mergeCell ref="A2:P2"/>
    <mergeCell ref="A3:P3"/>
    <mergeCell ref="B5:G5"/>
    <mergeCell ref="B8:F8"/>
    <mergeCell ref="B9:F9"/>
    <mergeCell ref="B13:G13"/>
    <mergeCell ref="B14:P14"/>
    <mergeCell ref="F16:F17"/>
    <mergeCell ref="H16:J16"/>
  </mergeCells>
  <printOptions horizontalCentered="1"/>
  <pageMargins left="3.9370078740157501E-2" right="3.9370078740157501E-2" top="3.9370078740157501E-2" bottom="3.9370078740157501E-2" header="3.9370078740157501E-2" footer="3.9370078740157501E-2"/>
  <pageSetup paperSize="9" scale="73" firstPageNumber="45" orientation="landscape" useFirstPageNumber="1" r:id="rId1"/>
  <headerFooter>
    <oddFooter>&amp;C&amp;"B Nazanin,Regular"&amp;P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rightToLeft="1" view="pageBreakPreview" topLeftCell="A11" zoomScale="110" zoomScaleNormal="110" zoomScaleSheetLayoutView="110" zoomScalePageLayoutView="70" workbookViewId="0">
      <selection activeCell="D51" sqref="D51"/>
    </sheetView>
  </sheetViews>
  <sheetFormatPr defaultColWidth="9" defaultRowHeight="21"/>
  <cols>
    <col min="1" max="1" width="1.140625" style="1" customWidth="1"/>
    <col min="2" max="2" width="26.85546875" style="59" customWidth="1"/>
    <col min="3" max="3" width="0.28515625" style="1" hidden="1" customWidth="1"/>
    <col min="4" max="4" width="11.5703125" style="307" customWidth="1"/>
    <col min="5" max="5" width="0.28515625" style="1" customWidth="1"/>
    <col min="6" max="6" width="10.85546875" style="2" customWidth="1"/>
    <col min="7" max="7" width="0.42578125" style="2" customWidth="1"/>
    <col min="8" max="8" width="12.42578125" style="1" customWidth="1"/>
    <col min="9" max="9" width="0.28515625" style="1" customWidth="1"/>
    <col min="10" max="10" width="11.28515625" style="1" customWidth="1"/>
    <col min="11" max="11" width="0.28515625" style="1" customWidth="1"/>
    <col min="12" max="12" width="12" style="1" customWidth="1"/>
    <col min="13" max="13" width="0.28515625" style="1" customWidth="1"/>
    <col min="14" max="14" width="12.7109375" style="1" customWidth="1"/>
    <col min="15" max="15" width="0.42578125" style="1" customWidth="1"/>
    <col min="16" max="16" width="13" style="1" customWidth="1"/>
    <col min="17" max="17" width="0.42578125" style="1" customWidth="1"/>
    <col min="18" max="18" width="13" style="1" customWidth="1"/>
    <col min="19" max="19" width="0.28515625" style="1" customWidth="1"/>
    <col min="20" max="20" width="10.5703125" style="1" customWidth="1"/>
    <col min="21" max="21" width="0.42578125" style="1" customWidth="1"/>
    <col min="22" max="22" width="7" style="1" customWidth="1"/>
    <col min="23" max="23" width="0.5703125" style="1" customWidth="1"/>
    <col min="24" max="24" width="9" style="1"/>
    <col min="25" max="26" width="17.28515625" style="1" bestFit="1" customWidth="1"/>
    <col min="27" max="16384" width="9" style="1"/>
  </cols>
  <sheetData>
    <row r="1" spans="1:22" ht="21.75" customHeight="1">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765"/>
      <c r="S1" s="765"/>
      <c r="T1" s="765"/>
      <c r="U1" s="765"/>
      <c r="V1" s="765"/>
    </row>
    <row r="2" spans="1:22" s="26" customFormat="1">
      <c r="A2" s="767" t="s">
        <v>33</v>
      </c>
      <c r="B2" s="767"/>
      <c r="C2" s="767"/>
      <c r="D2" s="767"/>
      <c r="E2" s="767"/>
      <c r="F2" s="767"/>
      <c r="G2" s="767"/>
      <c r="H2" s="767"/>
      <c r="I2" s="767"/>
      <c r="J2" s="767"/>
      <c r="K2" s="767"/>
      <c r="L2" s="767"/>
      <c r="M2" s="767"/>
      <c r="N2" s="767"/>
      <c r="O2" s="767"/>
      <c r="P2" s="767"/>
      <c r="Q2" s="767"/>
      <c r="R2" s="767"/>
      <c r="S2" s="767"/>
      <c r="T2" s="767"/>
      <c r="U2" s="767"/>
      <c r="V2" s="767"/>
    </row>
    <row r="3" spans="1:22">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c r="T3" s="767"/>
      <c r="U3" s="767"/>
      <c r="V3" s="767"/>
    </row>
    <row r="4" spans="1:22" ht="18" customHeight="1">
      <c r="A4" s="26"/>
      <c r="B4" s="901" t="s">
        <v>1380</v>
      </c>
      <c r="C4" s="901"/>
      <c r="D4" s="901"/>
      <c r="E4" s="901"/>
      <c r="F4" s="901"/>
      <c r="G4" s="901"/>
      <c r="H4" s="901"/>
      <c r="I4" s="26"/>
      <c r="J4" s="26"/>
    </row>
    <row r="5" spans="1:22" ht="21" customHeight="1">
      <c r="B5" s="93"/>
      <c r="C5" s="93"/>
      <c r="D5" s="902" t="s">
        <v>158</v>
      </c>
      <c r="E5" s="902"/>
      <c r="F5" s="902"/>
      <c r="G5" s="902"/>
      <c r="H5" s="902"/>
      <c r="I5" s="902"/>
      <c r="J5" s="902"/>
      <c r="K5" s="902"/>
      <c r="L5" s="902"/>
      <c r="M5" s="902"/>
      <c r="N5" s="902"/>
      <c r="O5" s="902"/>
      <c r="P5" s="902"/>
      <c r="Q5" s="31"/>
      <c r="R5" s="903" t="s">
        <v>156</v>
      </c>
      <c r="S5" s="31"/>
      <c r="T5" s="905" t="s">
        <v>591</v>
      </c>
      <c r="U5" s="905"/>
      <c r="V5" s="905"/>
    </row>
    <row r="6" spans="1:22" ht="63">
      <c r="B6" s="93"/>
      <c r="C6" s="93"/>
      <c r="D6" s="305" t="s">
        <v>154</v>
      </c>
      <c r="E6" s="80"/>
      <c r="F6" s="130" t="s">
        <v>554</v>
      </c>
      <c r="H6" s="188" t="s">
        <v>555</v>
      </c>
      <c r="I6" s="2"/>
      <c r="J6" s="130" t="s">
        <v>556</v>
      </c>
      <c r="K6" s="2"/>
      <c r="L6" s="210" t="s">
        <v>557</v>
      </c>
      <c r="M6" s="2"/>
      <c r="N6" s="130" t="s">
        <v>155</v>
      </c>
      <c r="O6" s="2"/>
      <c r="P6" s="205" t="s">
        <v>558</v>
      </c>
      <c r="Q6" s="2"/>
      <c r="R6" s="904"/>
      <c r="S6" s="2"/>
      <c r="T6" s="130" t="s">
        <v>176</v>
      </c>
      <c r="U6" s="2"/>
      <c r="V6" s="205" t="s">
        <v>558</v>
      </c>
    </row>
    <row r="7" spans="1:22" ht="42">
      <c r="B7" s="93"/>
      <c r="C7" s="93"/>
      <c r="D7" s="297" t="s">
        <v>103</v>
      </c>
      <c r="E7" s="80"/>
      <c r="F7" s="58" t="s">
        <v>103</v>
      </c>
      <c r="H7" s="58" t="s">
        <v>103</v>
      </c>
      <c r="I7" s="31"/>
      <c r="J7" s="58" t="s">
        <v>103</v>
      </c>
      <c r="K7" s="31"/>
      <c r="L7" s="58" t="s">
        <v>103</v>
      </c>
      <c r="M7" s="2"/>
      <c r="N7" s="58" t="s">
        <v>103</v>
      </c>
      <c r="O7" s="2"/>
      <c r="P7" s="58" t="s">
        <v>103</v>
      </c>
      <c r="Q7" s="2"/>
      <c r="R7" s="58" t="s">
        <v>103</v>
      </c>
      <c r="S7" s="2"/>
      <c r="T7" s="58" t="s">
        <v>103</v>
      </c>
      <c r="U7" s="2"/>
      <c r="V7" s="58" t="s">
        <v>103</v>
      </c>
    </row>
    <row r="8" spans="1:22" ht="24.75">
      <c r="B8" s="93" t="s">
        <v>559</v>
      </c>
      <c r="C8" s="93"/>
      <c r="D8" s="625">
        <v>8500551000000</v>
      </c>
      <c r="E8" s="626"/>
      <c r="F8" s="625">
        <f>305270000000-255017000000+159705939655+157932000000</f>
        <v>367890939655</v>
      </c>
      <c r="G8" s="69"/>
      <c r="H8" s="625">
        <f>D8+F8</f>
        <v>8868441939655</v>
      </c>
      <c r="I8" s="603"/>
      <c r="J8" s="603"/>
      <c r="K8" s="603"/>
      <c r="L8" s="625">
        <v>1717395241421</v>
      </c>
      <c r="M8" s="69"/>
      <c r="N8" s="625">
        <f>D8+F8+L8</f>
        <v>10585837181076</v>
      </c>
      <c r="O8" s="69"/>
      <c r="P8" s="625">
        <f>N8</f>
        <v>10585837181076</v>
      </c>
      <c r="Q8" s="69"/>
      <c r="R8" s="625">
        <f>P8</f>
        <v>10585837181076</v>
      </c>
      <c r="S8" s="69"/>
      <c r="T8" s="627">
        <f>R8-N8</f>
        <v>0</v>
      </c>
      <c r="U8" s="69"/>
      <c r="V8" s="627">
        <v>0</v>
      </c>
    </row>
    <row r="9" spans="1:22" ht="24.75">
      <c r="B9" s="93" t="s">
        <v>560</v>
      </c>
      <c r="C9" s="93"/>
      <c r="D9" s="625">
        <v>961157000000</v>
      </c>
      <c r="E9" s="626"/>
      <c r="F9" s="625">
        <v>405731000000</v>
      </c>
      <c r="G9" s="69"/>
      <c r="H9" s="625">
        <f>D9+F9</f>
        <v>1366888000000</v>
      </c>
      <c r="I9" s="603"/>
      <c r="J9" s="603"/>
      <c r="K9" s="603"/>
      <c r="L9" s="625">
        <v>454800000000</v>
      </c>
      <c r="M9" s="69"/>
      <c r="N9" s="625">
        <f>L9+H9</f>
        <v>1821688000000</v>
      </c>
      <c r="O9" s="69"/>
      <c r="P9" s="625">
        <v>1507784000000</v>
      </c>
      <c r="Q9" s="69"/>
      <c r="R9" s="625">
        <v>1507784000000</v>
      </c>
      <c r="S9" s="69"/>
      <c r="T9" s="625">
        <f>R9-N9</f>
        <v>-313904000000</v>
      </c>
      <c r="U9" s="69"/>
      <c r="V9" s="627">
        <v>0</v>
      </c>
    </row>
    <row r="10" spans="1:22" ht="24.75">
      <c r="B10" s="93" t="s">
        <v>1036</v>
      </c>
      <c r="C10" s="93"/>
      <c r="D10" s="625">
        <f>'41-1'!D33</f>
        <v>0</v>
      </c>
      <c r="E10" s="626"/>
      <c r="F10" s="625"/>
      <c r="G10" s="69"/>
      <c r="H10" s="625"/>
      <c r="I10" s="603"/>
      <c r="J10" s="603"/>
      <c r="K10" s="603"/>
      <c r="L10" s="625">
        <v>45000000000</v>
      </c>
      <c r="M10" s="69"/>
      <c r="N10" s="625">
        <f>L10+H10</f>
        <v>45000000000</v>
      </c>
      <c r="O10" s="69"/>
      <c r="P10" s="625">
        <f>N10</f>
        <v>45000000000</v>
      </c>
      <c r="Q10" s="69"/>
      <c r="R10" s="625">
        <f>P10</f>
        <v>45000000000</v>
      </c>
      <c r="S10" s="69"/>
      <c r="T10" s="627">
        <f>R10-N10</f>
        <v>0</v>
      </c>
      <c r="U10" s="69"/>
      <c r="V10" s="627">
        <v>0</v>
      </c>
    </row>
    <row r="11" spans="1:22" ht="25.5" thickBot="1">
      <c r="B11" s="93"/>
      <c r="C11" s="93"/>
      <c r="D11" s="458">
        <f>SUM(D8:D10)</f>
        <v>9461708000000</v>
      </c>
      <c r="E11" s="626"/>
      <c r="F11" s="458">
        <f>SUM(F8:F10)</f>
        <v>773621939655</v>
      </c>
      <c r="G11" s="69"/>
      <c r="H11" s="458">
        <f>SUM(H8:H10)</f>
        <v>10235329939655</v>
      </c>
      <c r="I11" s="603"/>
      <c r="J11" s="628">
        <f>SUM(J8:J9)</f>
        <v>0</v>
      </c>
      <c r="K11" s="603"/>
      <c r="L11" s="458">
        <f>SUM(L8:L10)</f>
        <v>2217195241421</v>
      </c>
      <c r="M11" s="69"/>
      <c r="N11" s="458">
        <f>SUM(N8:N10)</f>
        <v>12452525181076</v>
      </c>
      <c r="O11" s="69"/>
      <c r="P11" s="458">
        <f>SUM(P8:P10)</f>
        <v>12138621181076</v>
      </c>
      <c r="Q11" s="69"/>
      <c r="R11" s="458">
        <f>SUM(R8:R10)</f>
        <v>12138621181076</v>
      </c>
      <c r="S11" s="69"/>
      <c r="T11" s="458">
        <f>SUM(T8:T10)</f>
        <v>-313904000000</v>
      </c>
      <c r="U11" s="69"/>
      <c r="V11" s="628">
        <f>SUM(V8:V9)</f>
        <v>0</v>
      </c>
    </row>
    <row r="12" spans="1:22" ht="21.75" thickTop="1"/>
    <row r="13" spans="1:22" s="5" customFormat="1" ht="65.25" customHeight="1">
      <c r="B13" s="858" t="s">
        <v>1381</v>
      </c>
      <c r="C13" s="858"/>
      <c r="D13" s="858"/>
      <c r="E13" s="858"/>
      <c r="F13" s="858"/>
      <c r="G13" s="858"/>
      <c r="H13" s="858"/>
      <c r="I13" s="858"/>
      <c r="J13" s="858"/>
      <c r="K13" s="858"/>
      <c r="L13" s="858"/>
      <c r="M13" s="858"/>
      <c r="N13" s="858"/>
      <c r="O13" s="858"/>
      <c r="P13" s="858"/>
      <c r="Q13" s="858"/>
      <c r="R13" s="858"/>
      <c r="S13" s="858"/>
      <c r="T13" s="858"/>
      <c r="U13" s="858"/>
      <c r="V13" s="858"/>
    </row>
    <row r="14" spans="1:22" s="5" customFormat="1" ht="42" customHeight="1">
      <c r="B14" s="858" t="s">
        <v>1382</v>
      </c>
      <c r="C14" s="858"/>
      <c r="D14" s="858"/>
      <c r="E14" s="858"/>
      <c r="F14" s="858"/>
      <c r="G14" s="858"/>
      <c r="H14" s="858"/>
      <c r="I14" s="858"/>
      <c r="J14" s="858"/>
      <c r="K14" s="858"/>
      <c r="L14" s="858"/>
      <c r="M14" s="858"/>
      <c r="N14" s="858"/>
      <c r="O14" s="858"/>
      <c r="P14" s="858"/>
      <c r="Q14" s="858"/>
      <c r="R14" s="858"/>
      <c r="S14" s="858"/>
      <c r="T14" s="858"/>
      <c r="U14" s="858"/>
      <c r="V14" s="858"/>
    </row>
    <row r="15" spans="1:22" ht="4.5" customHeight="1"/>
    <row r="16" spans="1:22" ht="18" customHeight="1">
      <c r="A16" s="26"/>
      <c r="B16" s="901" t="s">
        <v>1383</v>
      </c>
      <c r="C16" s="901"/>
      <c r="D16" s="901"/>
      <c r="E16" s="901"/>
      <c r="F16" s="901"/>
      <c r="G16" s="901"/>
      <c r="H16" s="26"/>
      <c r="I16" s="26"/>
      <c r="J16" s="26"/>
    </row>
    <row r="17" spans="1:22" ht="18" customHeight="1">
      <c r="A17" s="26"/>
      <c r="B17" s="112"/>
      <c r="C17" s="112"/>
      <c r="D17" s="308"/>
      <c r="E17" s="112"/>
      <c r="F17" s="112"/>
      <c r="G17" s="112"/>
      <c r="H17" s="26"/>
      <c r="I17" s="26"/>
      <c r="J17" s="26"/>
    </row>
    <row r="18" spans="1:22" ht="18" customHeight="1">
      <c r="A18" s="26"/>
      <c r="B18" s="93"/>
      <c r="C18" s="93"/>
      <c r="D18" s="902" t="s">
        <v>158</v>
      </c>
      <c r="E18" s="902"/>
      <c r="F18" s="902"/>
      <c r="G18" s="902"/>
      <c r="H18" s="902"/>
      <c r="I18" s="86"/>
      <c r="J18" s="914" t="s">
        <v>156</v>
      </c>
      <c r="K18" s="884"/>
      <c r="L18" s="903" t="s">
        <v>641</v>
      </c>
      <c r="M18" s="884"/>
      <c r="N18" s="233"/>
      <c r="O18" s="884"/>
      <c r="P18" s="86"/>
      <c r="Q18" s="31"/>
      <c r="R18" s="233"/>
      <c r="S18" s="31"/>
      <c r="T18" s="212"/>
      <c r="U18" s="212"/>
      <c r="V18" s="212"/>
    </row>
    <row r="19" spans="1:22" ht="26.25" customHeight="1">
      <c r="A19" s="26"/>
      <c r="B19" s="93"/>
      <c r="C19" s="93"/>
      <c r="D19" s="305" t="s">
        <v>154</v>
      </c>
      <c r="E19" s="80"/>
      <c r="F19" s="130" t="s">
        <v>554</v>
      </c>
      <c r="H19" s="130" t="s">
        <v>155</v>
      </c>
      <c r="I19" s="2"/>
      <c r="J19" s="915"/>
      <c r="K19" s="884"/>
      <c r="L19" s="904"/>
      <c r="M19" s="884"/>
      <c r="N19" s="233"/>
      <c r="O19" s="884"/>
      <c r="P19" s="51"/>
      <c r="Q19" s="2"/>
      <c r="R19" s="233"/>
      <c r="S19" s="2"/>
      <c r="T19" s="80"/>
      <c r="U19" s="2"/>
      <c r="V19" s="51"/>
    </row>
    <row r="20" spans="1:22" ht="18" customHeight="1">
      <c r="A20" s="26"/>
      <c r="B20" s="93"/>
      <c r="C20" s="93"/>
      <c r="D20" s="297" t="s">
        <v>103</v>
      </c>
      <c r="E20" s="80"/>
      <c r="F20" s="58" t="s">
        <v>103</v>
      </c>
      <c r="H20" s="58" t="s">
        <v>103</v>
      </c>
      <c r="I20" s="31"/>
      <c r="J20" s="58" t="s">
        <v>103</v>
      </c>
      <c r="K20" s="2"/>
      <c r="L20" s="58" t="s">
        <v>103</v>
      </c>
      <c r="M20" s="2"/>
      <c r="N20" s="58"/>
      <c r="O20" s="2"/>
      <c r="P20" s="58"/>
      <c r="Q20" s="2"/>
      <c r="R20" s="58"/>
      <c r="S20" s="2"/>
      <c r="T20" s="58"/>
      <c r="U20" s="2"/>
      <c r="V20" s="58"/>
    </row>
    <row r="21" spans="1:22" ht="18" hidden="1" customHeight="1">
      <c r="A21" s="26"/>
      <c r="B21" s="77" t="s">
        <v>482</v>
      </c>
      <c r="C21" s="93"/>
      <c r="D21" s="331">
        <v>0</v>
      </c>
      <c r="E21" s="331"/>
      <c r="F21" s="331">
        <v>0</v>
      </c>
      <c r="G21" s="332"/>
      <c r="H21" s="332">
        <v>0</v>
      </c>
      <c r="I21" s="329"/>
      <c r="J21" s="332">
        <v>0</v>
      </c>
      <c r="K21" s="332"/>
      <c r="L21" s="332">
        <v>0</v>
      </c>
      <c r="M21" s="2"/>
      <c r="N21" s="133"/>
      <c r="O21" s="2"/>
      <c r="P21" s="133"/>
      <c r="Q21" s="2"/>
      <c r="R21" s="133"/>
      <c r="S21" s="2"/>
      <c r="T21" s="133"/>
      <c r="U21" s="2"/>
      <c r="V21" s="133"/>
    </row>
    <row r="22" spans="1:22" ht="18" hidden="1" customHeight="1">
      <c r="A22" s="26"/>
      <c r="B22" s="77" t="s">
        <v>483</v>
      </c>
      <c r="C22" s="93"/>
      <c r="D22" s="331">
        <v>0</v>
      </c>
      <c r="E22" s="331"/>
      <c r="F22" s="331">
        <v>0</v>
      </c>
      <c r="G22" s="332"/>
      <c r="H22" s="332">
        <v>0</v>
      </c>
      <c r="I22" s="329"/>
      <c r="J22" s="332">
        <v>0</v>
      </c>
      <c r="K22" s="332"/>
      <c r="L22" s="332">
        <v>0</v>
      </c>
      <c r="M22" s="2"/>
      <c r="N22" s="133"/>
      <c r="O22" s="2"/>
      <c r="P22" s="133"/>
      <c r="Q22" s="2"/>
      <c r="R22" s="133"/>
      <c r="S22" s="2"/>
      <c r="T22" s="133"/>
      <c r="U22" s="2"/>
      <c r="V22" s="133"/>
    </row>
    <row r="23" spans="1:22" ht="18" hidden="1" customHeight="1">
      <c r="A23" s="26"/>
      <c r="B23" s="77" t="s">
        <v>112</v>
      </c>
      <c r="C23" s="93"/>
      <c r="D23" s="331"/>
      <c r="E23" s="331"/>
      <c r="F23" s="331">
        <v>0</v>
      </c>
      <c r="G23" s="332"/>
      <c r="H23" s="331"/>
      <c r="I23" s="329"/>
      <c r="J23" s="331"/>
      <c r="K23" s="332"/>
      <c r="L23" s="332">
        <f>J23-H23</f>
        <v>0</v>
      </c>
      <c r="M23" s="2"/>
      <c r="N23" s="133"/>
      <c r="O23" s="2"/>
      <c r="P23" s="133"/>
      <c r="Q23" s="2"/>
      <c r="R23" s="133"/>
      <c r="S23" s="2"/>
      <c r="T23" s="133"/>
      <c r="U23" s="2"/>
      <c r="V23" s="133"/>
    </row>
    <row r="24" spans="1:22" ht="18" customHeight="1">
      <c r="A24" s="26"/>
      <c r="B24" s="77" t="s">
        <v>1326</v>
      </c>
      <c r="C24" s="93"/>
      <c r="D24" s="625">
        <v>3925000000000</v>
      </c>
      <c r="E24" s="625"/>
      <c r="F24" s="625">
        <v>1041227750000</v>
      </c>
      <c r="G24" s="625"/>
      <c r="H24" s="625">
        <v>4966227750000</v>
      </c>
      <c r="I24" s="625"/>
      <c r="J24" s="625">
        <v>4600224009115</v>
      </c>
      <c r="K24" s="625"/>
      <c r="L24" s="625">
        <f>J24-H24</f>
        <v>-366003740885</v>
      </c>
      <c r="M24" s="2"/>
      <c r="N24" s="133"/>
      <c r="O24" s="2"/>
      <c r="P24" s="133"/>
      <c r="Q24" s="2"/>
      <c r="R24" s="133"/>
      <c r="S24" s="2"/>
      <c r="T24" s="133"/>
      <c r="U24" s="2"/>
      <c r="V24" s="133"/>
    </row>
    <row r="25" spans="1:22" ht="18" hidden="1" customHeight="1">
      <c r="A25" s="26"/>
      <c r="B25" s="77" t="s">
        <v>113</v>
      </c>
      <c r="C25" s="93"/>
      <c r="D25" s="333"/>
      <c r="E25" s="333"/>
      <c r="F25" s="333">
        <v>0</v>
      </c>
      <c r="G25" s="629"/>
      <c r="H25" s="333">
        <f>D25</f>
        <v>0</v>
      </c>
      <c r="I25" s="630"/>
      <c r="J25" s="333">
        <f>D25</f>
        <v>0</v>
      </c>
      <c r="K25" s="629"/>
      <c r="L25" s="629">
        <v>0</v>
      </c>
      <c r="M25" s="2"/>
      <c r="N25" s="133"/>
      <c r="O25" s="2"/>
      <c r="P25" s="133"/>
      <c r="Q25" s="2"/>
      <c r="R25" s="133"/>
      <c r="S25" s="2"/>
      <c r="T25" s="133"/>
      <c r="U25" s="2"/>
      <c r="V25" s="133"/>
    </row>
    <row r="26" spans="1:22" ht="18" hidden="1" customHeight="1">
      <c r="A26" s="26"/>
      <c r="B26" s="77" t="s">
        <v>114</v>
      </c>
      <c r="C26" s="93"/>
      <c r="D26" s="333">
        <v>0</v>
      </c>
      <c r="E26" s="333"/>
      <c r="F26" s="333">
        <v>0</v>
      </c>
      <c r="G26" s="629"/>
      <c r="H26" s="629">
        <v>0</v>
      </c>
      <c r="I26" s="630"/>
      <c r="J26" s="629"/>
      <c r="K26" s="629"/>
      <c r="L26" s="629"/>
      <c r="M26" s="2"/>
      <c r="N26" s="133"/>
      <c r="O26" s="2"/>
      <c r="P26" s="133"/>
      <c r="Q26" s="2"/>
      <c r="R26" s="133"/>
      <c r="S26" s="2"/>
      <c r="T26" s="133"/>
      <c r="U26" s="2"/>
      <c r="V26" s="133"/>
    </row>
    <row r="27" spans="1:22" ht="18" customHeight="1" thickBot="1">
      <c r="A27" s="26"/>
      <c r="B27" s="93"/>
      <c r="C27" s="93"/>
      <c r="D27" s="631">
        <f>SUM(D21:D26)</f>
        <v>3925000000000</v>
      </c>
      <c r="E27" s="625"/>
      <c r="F27" s="631">
        <f>SUM(F21:F26)</f>
        <v>1041227750000</v>
      </c>
      <c r="G27" s="299"/>
      <c r="H27" s="631">
        <f>SUM(H21:H26)</f>
        <v>4966227750000</v>
      </c>
      <c r="I27" s="632"/>
      <c r="J27" s="631">
        <f>SUM(J21:J26)</f>
        <v>4600224009115</v>
      </c>
      <c r="K27" s="299"/>
      <c r="L27" s="631">
        <f>SUM(L21:L26)</f>
        <v>-366003740885</v>
      </c>
      <c r="M27" s="2"/>
      <c r="N27" s="133"/>
      <c r="O27" s="2"/>
      <c r="P27" s="133"/>
      <c r="Q27" s="2"/>
      <c r="R27" s="133"/>
      <c r="S27" s="2"/>
      <c r="T27" s="133"/>
      <c r="U27" s="2"/>
      <c r="V27" s="133"/>
    </row>
    <row r="28" spans="1:22" ht="18" customHeight="1" thickTop="1">
      <c r="A28" s="26"/>
      <c r="E28" s="307"/>
      <c r="F28" s="303"/>
      <c r="G28" s="303"/>
      <c r="H28" s="466"/>
      <c r="I28" s="307"/>
      <c r="J28" s="307"/>
      <c r="K28" s="307"/>
      <c r="L28" s="307"/>
    </row>
    <row r="29" spans="1:22" s="5" customFormat="1" ht="45.75" customHeight="1">
      <c r="B29" s="858" t="s">
        <v>1384</v>
      </c>
      <c r="C29" s="858"/>
      <c r="D29" s="858"/>
      <c r="E29" s="858"/>
      <c r="F29" s="858"/>
      <c r="G29" s="858"/>
      <c r="H29" s="858"/>
      <c r="I29" s="858"/>
      <c r="J29" s="858"/>
      <c r="K29" s="858"/>
      <c r="L29" s="858"/>
      <c r="M29" s="858"/>
      <c r="N29" s="858"/>
      <c r="O29" s="858"/>
      <c r="P29" s="858"/>
      <c r="Q29" s="858"/>
      <c r="R29" s="858"/>
      <c r="S29" s="858"/>
      <c r="T29" s="858"/>
      <c r="U29" s="858"/>
      <c r="V29" s="858"/>
    </row>
    <row r="30" spans="1:22" s="5" customFormat="1">
      <c r="B30" s="813" t="s">
        <v>1385</v>
      </c>
      <c r="C30" s="813"/>
      <c r="D30" s="813"/>
      <c r="E30" s="813"/>
      <c r="F30" s="813"/>
      <c r="G30" s="813"/>
      <c r="H30" s="813"/>
      <c r="I30" s="813"/>
      <c r="J30" s="813"/>
      <c r="K30" s="813"/>
      <c r="L30" s="813"/>
      <c r="M30" s="813"/>
      <c r="N30" s="813"/>
      <c r="O30" s="813"/>
      <c r="P30" s="813"/>
      <c r="Q30" s="813"/>
      <c r="R30" s="813"/>
      <c r="S30" s="813"/>
      <c r="T30" s="813"/>
      <c r="U30" s="813"/>
      <c r="V30" s="813"/>
    </row>
    <row r="31" spans="1:22" s="5" customFormat="1" ht="44.25" customHeight="1">
      <c r="B31" s="858" t="s">
        <v>1386</v>
      </c>
      <c r="C31" s="858"/>
      <c r="D31" s="858"/>
      <c r="E31" s="858"/>
      <c r="F31" s="858"/>
      <c r="G31" s="858"/>
      <c r="H31" s="858"/>
      <c r="I31" s="858"/>
      <c r="J31" s="858"/>
      <c r="K31" s="858"/>
      <c r="L31" s="858"/>
      <c r="M31" s="858"/>
      <c r="N31" s="858"/>
      <c r="O31" s="858"/>
      <c r="P31" s="858"/>
      <c r="Q31" s="858"/>
      <c r="R31" s="858"/>
      <c r="S31" s="858"/>
      <c r="T31" s="858"/>
      <c r="U31" s="858"/>
      <c r="V31" s="858"/>
    </row>
    <row r="32" spans="1:22" s="5" customFormat="1" ht="48" customHeight="1">
      <c r="B32" s="858" t="s">
        <v>1387</v>
      </c>
      <c r="C32" s="858"/>
      <c r="D32" s="858"/>
      <c r="E32" s="858"/>
      <c r="F32" s="858"/>
      <c r="G32" s="858"/>
      <c r="H32" s="858"/>
      <c r="I32" s="858"/>
      <c r="J32" s="858"/>
      <c r="K32" s="858"/>
      <c r="L32" s="858"/>
      <c r="M32" s="858"/>
      <c r="N32" s="858"/>
      <c r="O32" s="858"/>
      <c r="P32" s="858"/>
      <c r="Q32" s="858"/>
      <c r="R32" s="858"/>
      <c r="S32" s="858"/>
      <c r="T32" s="858"/>
      <c r="U32" s="858"/>
      <c r="V32" s="858"/>
    </row>
    <row r="33" spans="2:22" s="5" customFormat="1" ht="19.5">
      <c r="B33" s="907" t="s">
        <v>1388</v>
      </c>
      <c r="C33" s="907"/>
      <c r="D33" s="907"/>
      <c r="E33" s="907"/>
      <c r="F33" s="907"/>
      <c r="G33" s="907"/>
      <c r="H33" s="907"/>
      <c r="I33" s="907"/>
      <c r="J33" s="907"/>
      <c r="K33" s="907"/>
      <c r="L33" s="907"/>
      <c r="M33" s="907"/>
      <c r="N33" s="907"/>
      <c r="O33" s="907"/>
      <c r="P33" s="907"/>
      <c r="Q33" s="907"/>
      <c r="R33" s="907"/>
      <c r="S33" s="907"/>
      <c r="T33" s="907"/>
      <c r="U33" s="907"/>
      <c r="V33" s="907"/>
    </row>
    <row r="34" spans="2:22" ht="30.75" customHeight="1">
      <c r="B34" s="56"/>
      <c r="C34" s="56"/>
      <c r="D34" s="298"/>
      <c r="E34" s="56"/>
      <c r="F34" s="56"/>
      <c r="G34" s="56"/>
      <c r="H34" s="56"/>
      <c r="I34" s="56"/>
      <c r="J34" s="56"/>
      <c r="K34" s="56"/>
      <c r="L34" s="903" t="s">
        <v>561</v>
      </c>
      <c r="M34" s="903"/>
      <c r="N34" s="903"/>
      <c r="O34" s="231"/>
      <c r="P34" s="909" t="s">
        <v>177</v>
      </c>
      <c r="Q34" s="909"/>
      <c r="R34" s="909"/>
      <c r="S34" s="211"/>
      <c r="T34" s="908" t="s">
        <v>156</v>
      </c>
      <c r="U34" s="908"/>
      <c r="V34" s="908"/>
    </row>
    <row r="35" spans="2:22">
      <c r="B35" s="56"/>
      <c r="C35" s="56"/>
      <c r="D35" s="298"/>
      <c r="E35" s="56"/>
      <c r="F35" s="56"/>
      <c r="G35" s="56"/>
      <c r="H35" s="56"/>
      <c r="I35" s="56"/>
      <c r="J35" s="56"/>
      <c r="K35" s="56"/>
      <c r="L35" s="906" t="s">
        <v>103</v>
      </c>
      <c r="M35" s="906"/>
      <c r="N35" s="906"/>
      <c r="O35" s="56"/>
      <c r="P35" s="906" t="s">
        <v>103</v>
      </c>
      <c r="Q35" s="906"/>
      <c r="R35" s="906"/>
      <c r="S35" s="211"/>
      <c r="T35" s="906" t="s">
        <v>103</v>
      </c>
      <c r="U35" s="906"/>
      <c r="V35" s="906"/>
    </row>
    <row r="36" spans="2:22" hidden="1">
      <c r="B36" s="77" t="s">
        <v>482</v>
      </c>
      <c r="L36" s="841">
        <f>T36</f>
        <v>0</v>
      </c>
      <c r="M36" s="841"/>
      <c r="N36" s="841"/>
      <c r="P36" s="841">
        <f t="shared" ref="P36:P41" si="0">T36-L36</f>
        <v>0</v>
      </c>
      <c r="Q36" s="841"/>
      <c r="R36" s="841"/>
      <c r="S36" s="2"/>
      <c r="T36" s="841">
        <f t="shared" ref="T36:T37" si="1">J21</f>
        <v>0</v>
      </c>
      <c r="U36" s="841"/>
      <c r="V36" s="841"/>
    </row>
    <row r="37" spans="2:22" hidden="1">
      <c r="B37" s="77" t="s">
        <v>483</v>
      </c>
      <c r="L37" s="912">
        <v>0</v>
      </c>
      <c r="M37" s="912"/>
      <c r="N37" s="912"/>
      <c r="O37" s="307"/>
      <c r="P37" s="912">
        <f t="shared" si="0"/>
        <v>0</v>
      </c>
      <c r="Q37" s="912"/>
      <c r="R37" s="912"/>
      <c r="S37" s="303"/>
      <c r="T37" s="912">
        <f t="shared" si="1"/>
        <v>0</v>
      </c>
      <c r="U37" s="912"/>
      <c r="V37" s="912"/>
    </row>
    <row r="38" spans="2:22" ht="24.75">
      <c r="B38" s="77" t="s">
        <v>112</v>
      </c>
      <c r="L38" s="910">
        <v>18246491000</v>
      </c>
      <c r="M38" s="910"/>
      <c r="N38" s="910"/>
      <c r="O38" s="633"/>
      <c r="P38" s="910">
        <f t="shared" si="0"/>
        <v>-547394730</v>
      </c>
      <c r="Q38" s="910"/>
      <c r="R38" s="910"/>
      <c r="S38" s="299"/>
      <c r="T38" s="910">
        <f>('29-32'!F50/0.03)*0.97</f>
        <v>17699096270</v>
      </c>
      <c r="U38" s="910"/>
      <c r="V38" s="910"/>
    </row>
    <row r="39" spans="2:22" ht="24.75">
      <c r="B39" s="77" t="s">
        <v>639</v>
      </c>
      <c r="L39" s="910">
        <f>'19-23'!N73+'19-23'!N74</f>
        <v>5984778023120</v>
      </c>
      <c r="M39" s="910"/>
      <c r="N39" s="910"/>
      <c r="O39" s="633"/>
      <c r="P39" s="910">
        <f t="shared" si="0"/>
        <v>-1431483236572.333</v>
      </c>
      <c r="Q39" s="910"/>
      <c r="R39" s="910"/>
      <c r="S39" s="632"/>
      <c r="T39" s="910">
        <f>('33-36'!E10/0.03)*0.97+442269000000</f>
        <v>4553294786547.667</v>
      </c>
      <c r="U39" s="910"/>
      <c r="V39" s="910"/>
    </row>
    <row r="40" spans="2:22" ht="24.75">
      <c r="B40" s="77" t="s">
        <v>113</v>
      </c>
      <c r="L40" s="910">
        <f>'19-23'!N103</f>
        <v>4400000000</v>
      </c>
      <c r="M40" s="910"/>
      <c r="N40" s="910"/>
      <c r="O40" s="633"/>
      <c r="P40" s="910">
        <f t="shared" si="0"/>
        <v>-132000000</v>
      </c>
      <c r="Q40" s="910"/>
      <c r="R40" s="910"/>
      <c r="S40" s="632"/>
      <c r="T40" s="910">
        <f>('33-36'!E36/0.03)*0.97</f>
        <v>4268000000</v>
      </c>
      <c r="U40" s="910"/>
      <c r="V40" s="910"/>
    </row>
    <row r="41" spans="2:22" ht="25.5" customHeight="1">
      <c r="B41" s="77" t="s">
        <v>1077</v>
      </c>
      <c r="L41" s="913">
        <f>'19-23'!N111</f>
        <v>29825427440</v>
      </c>
      <c r="M41" s="913"/>
      <c r="N41" s="913"/>
      <c r="O41" s="633"/>
      <c r="P41" s="913">
        <f t="shared" si="0"/>
        <v>-4863300808.3333321</v>
      </c>
      <c r="Q41" s="913"/>
      <c r="R41" s="913"/>
      <c r="S41" s="632"/>
      <c r="T41" s="910">
        <f>('33-36'!E44/0.03)*0.97</f>
        <v>24962126631.666668</v>
      </c>
      <c r="U41" s="910"/>
      <c r="V41" s="910"/>
    </row>
    <row r="42" spans="2:22" ht="25.5" thickBot="1">
      <c r="L42" s="911">
        <f>SUM(L36:N41)</f>
        <v>6037249941560</v>
      </c>
      <c r="M42" s="911"/>
      <c r="N42" s="911"/>
      <c r="O42" s="633"/>
      <c r="P42" s="911">
        <f>-(L42-T42)</f>
        <v>-1437025932110.666</v>
      </c>
      <c r="Q42" s="911"/>
      <c r="R42" s="911"/>
      <c r="S42" s="299"/>
      <c r="T42" s="911">
        <f>SUM(T36:V41)</f>
        <v>4600224009449.334</v>
      </c>
      <c r="U42" s="911"/>
      <c r="V42" s="911"/>
    </row>
    <row r="43" spans="2:22" ht="21.75" thickTop="1">
      <c r="L43" s="307"/>
      <c r="M43" s="307"/>
      <c r="N43" s="307"/>
      <c r="O43" s="307"/>
      <c r="P43" s="307"/>
      <c r="Q43" s="307"/>
      <c r="R43" s="307"/>
      <c r="S43" s="307"/>
      <c r="T43" s="307"/>
      <c r="U43" s="307"/>
      <c r="V43" s="307"/>
    </row>
  </sheetData>
  <mergeCells count="48">
    <mergeCell ref="L18:L19"/>
    <mergeCell ref="O18:O19"/>
    <mergeCell ref="M18:M19"/>
    <mergeCell ref="K18:K19"/>
    <mergeCell ref="L34:N34"/>
    <mergeCell ref="J18:J19"/>
    <mergeCell ref="D18:H18"/>
    <mergeCell ref="T42:V42"/>
    <mergeCell ref="L42:N42"/>
    <mergeCell ref="P35:R35"/>
    <mergeCell ref="T35:V35"/>
    <mergeCell ref="P36:R36"/>
    <mergeCell ref="T36:V36"/>
    <mergeCell ref="P37:R37"/>
    <mergeCell ref="P38:R38"/>
    <mergeCell ref="P39:R39"/>
    <mergeCell ref="P40:R40"/>
    <mergeCell ref="P41:R41"/>
    <mergeCell ref="T37:V37"/>
    <mergeCell ref="T38:V38"/>
    <mergeCell ref="T39:V39"/>
    <mergeCell ref="T40:V40"/>
    <mergeCell ref="T41:V41"/>
    <mergeCell ref="P42:R42"/>
    <mergeCell ref="L37:N37"/>
    <mergeCell ref="L38:N38"/>
    <mergeCell ref="L39:N39"/>
    <mergeCell ref="L40:N40"/>
    <mergeCell ref="L41:N41"/>
    <mergeCell ref="L35:N35"/>
    <mergeCell ref="L36:N36"/>
    <mergeCell ref="B30:V30"/>
    <mergeCell ref="B32:V32"/>
    <mergeCell ref="B29:V29"/>
    <mergeCell ref="B31:V31"/>
    <mergeCell ref="B33:V33"/>
    <mergeCell ref="T34:V34"/>
    <mergeCell ref="P34:R34"/>
    <mergeCell ref="B14:V14"/>
    <mergeCell ref="B16:G16"/>
    <mergeCell ref="D5:P5"/>
    <mergeCell ref="R5:R6"/>
    <mergeCell ref="T5:V5"/>
    <mergeCell ref="A1:V1"/>
    <mergeCell ref="A2:V2"/>
    <mergeCell ref="A3:V3"/>
    <mergeCell ref="B4:H4"/>
    <mergeCell ref="B13:V13"/>
  </mergeCells>
  <pageMargins left="0.70866141732283505" right="0.70866141732283505" top="0.74803149606299202" bottom="0.74803149606299202" header="0.31496062992126" footer="0.31496062992126"/>
  <pageSetup scale="62" firstPageNumber="46" orientation="portrait" useFirstPageNumber="1" r:id="rId1"/>
  <headerFooter>
    <oddFooter>&amp;C&amp;"B Nazanin,Regular"&amp;14&amp;P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9"/>
  <sheetViews>
    <sheetView rightToLeft="1" view="pageBreakPreview" zoomScaleNormal="100" zoomScaleSheetLayoutView="100" workbookViewId="0">
      <selection activeCell="L4" sqref="L4"/>
    </sheetView>
  </sheetViews>
  <sheetFormatPr defaultColWidth="9" defaultRowHeight="22.5"/>
  <cols>
    <col min="1" max="1" width="3.42578125" style="41" customWidth="1"/>
    <col min="2" max="2" width="10.7109375" style="41" customWidth="1"/>
    <col min="3" max="3" width="28.7109375" style="41" customWidth="1"/>
    <col min="4" max="4" width="0.42578125" style="41" customWidth="1"/>
    <col min="5" max="5" width="30.7109375" style="41" customWidth="1"/>
    <col min="6" max="6" width="0.5703125" style="41" customWidth="1"/>
    <col min="7" max="7" width="9" style="41"/>
    <col min="8" max="8" width="11.140625" style="41" customWidth="1"/>
    <col min="9" max="9" width="3.140625" style="41" customWidth="1"/>
    <col min="10" max="10" width="1.140625" style="41" customWidth="1"/>
    <col min="11" max="16384" width="9" style="41"/>
  </cols>
  <sheetData>
    <row r="1" spans="2:18" s="37" customFormat="1" ht="23.25">
      <c r="B1" s="728" t="str">
        <f>مفروضات!$C$1</f>
        <v>دانشگاه علوم پزشکی و خدمات بهداشتی درمانی سمنان</v>
      </c>
      <c r="C1" s="729"/>
      <c r="D1" s="729"/>
      <c r="E1" s="729"/>
      <c r="F1" s="729"/>
      <c r="G1" s="729"/>
      <c r="H1" s="729"/>
      <c r="I1" s="729"/>
      <c r="J1" s="729"/>
      <c r="K1" s="36"/>
      <c r="L1" s="36"/>
      <c r="M1" s="36"/>
      <c r="N1" s="36"/>
      <c r="O1" s="36"/>
      <c r="P1" s="36"/>
      <c r="Q1" s="36"/>
      <c r="R1" s="36"/>
    </row>
    <row r="2" spans="2:18" s="40" customFormat="1">
      <c r="B2" s="730" t="s">
        <v>165</v>
      </c>
      <c r="C2" s="730"/>
      <c r="D2" s="730"/>
      <c r="E2" s="730"/>
      <c r="F2" s="730"/>
      <c r="G2" s="730"/>
      <c r="H2" s="730"/>
      <c r="I2" s="730"/>
      <c r="J2" s="730"/>
      <c r="K2" s="38"/>
      <c r="L2" s="38"/>
      <c r="M2" s="38"/>
      <c r="N2" s="39"/>
    </row>
    <row r="3" spans="2:18" s="37" customFormat="1" ht="23.25">
      <c r="B3" s="730" t="str">
        <f>مفروضات!$C$8</f>
        <v>سال مالي منتهي به 29 اسفند ماه 1402</v>
      </c>
      <c r="C3" s="730"/>
      <c r="D3" s="730"/>
      <c r="E3" s="730"/>
      <c r="F3" s="730"/>
      <c r="G3" s="730"/>
      <c r="H3" s="730"/>
      <c r="I3" s="730"/>
      <c r="J3" s="730"/>
      <c r="K3" s="38"/>
      <c r="L3" s="38"/>
      <c r="M3" s="38"/>
      <c r="N3" s="39"/>
      <c r="O3" s="40"/>
      <c r="P3" s="40"/>
      <c r="Q3" s="40"/>
      <c r="R3" s="40"/>
    </row>
    <row r="4" spans="2:18" ht="34.5" customHeight="1"/>
    <row r="5" spans="2:18" ht="27" customHeight="1">
      <c r="B5" s="733" t="s">
        <v>655</v>
      </c>
      <c r="C5" s="733"/>
      <c r="D5" s="733"/>
      <c r="E5" s="733"/>
      <c r="F5" s="733"/>
      <c r="G5" s="733"/>
      <c r="H5" s="733"/>
      <c r="I5" s="733"/>
    </row>
    <row r="6" spans="2:18" ht="27" customHeight="1">
      <c r="B6" s="734"/>
      <c r="C6" s="734"/>
      <c r="D6" s="734"/>
      <c r="E6" s="734"/>
      <c r="F6" s="734"/>
      <c r="G6" s="734"/>
      <c r="H6" s="734"/>
      <c r="I6" s="734"/>
    </row>
    <row r="7" spans="2:18" ht="15.75" customHeight="1">
      <c r="B7" s="419"/>
      <c r="C7" s="419"/>
      <c r="D7" s="419"/>
      <c r="E7" s="419"/>
      <c r="F7" s="419"/>
      <c r="G7" s="419"/>
      <c r="H7" s="419"/>
      <c r="I7" s="419"/>
    </row>
    <row r="8" spans="2:18">
      <c r="B8" s="736" t="s">
        <v>194</v>
      </c>
      <c r="C8" s="736"/>
      <c r="D8" s="736"/>
      <c r="E8" s="737"/>
      <c r="F8" s="737"/>
      <c r="G8" s="737"/>
      <c r="H8" s="737"/>
      <c r="I8" s="737"/>
    </row>
    <row r="9" spans="2:18" ht="50.25" customHeight="1">
      <c r="B9" s="731" t="s">
        <v>650</v>
      </c>
      <c r="C9" s="731"/>
      <c r="D9" s="731"/>
      <c r="E9" s="731"/>
      <c r="F9" s="731"/>
      <c r="G9" s="731"/>
      <c r="H9" s="731"/>
      <c r="I9" s="731"/>
      <c r="J9" s="42"/>
      <c r="K9" s="42"/>
      <c r="L9" s="42"/>
      <c r="M9" s="42"/>
      <c r="N9" s="42"/>
    </row>
    <row r="10" spans="2:18">
      <c r="B10" s="732" t="s">
        <v>3</v>
      </c>
      <c r="C10" s="732"/>
      <c r="D10" s="732"/>
      <c r="E10" s="732"/>
      <c r="F10" s="420"/>
      <c r="G10" s="421"/>
      <c r="H10" s="422" t="s">
        <v>4</v>
      </c>
    </row>
    <row r="11" spans="2:18" ht="29.25" customHeight="1">
      <c r="B11" s="739" t="s">
        <v>150</v>
      </c>
      <c r="C11" s="739"/>
      <c r="D11" s="739"/>
      <c r="E11" s="739"/>
      <c r="F11" s="393"/>
      <c r="G11" s="421"/>
      <c r="H11" s="423" t="s">
        <v>382</v>
      </c>
    </row>
    <row r="12" spans="2:18" ht="29.25" customHeight="1">
      <c r="B12" s="738" t="s">
        <v>149</v>
      </c>
      <c r="C12" s="738"/>
      <c r="D12" s="738"/>
      <c r="E12" s="738"/>
      <c r="F12" s="393"/>
      <c r="G12" s="421"/>
      <c r="H12" s="423" t="s">
        <v>383</v>
      </c>
    </row>
    <row r="13" spans="2:18" ht="29.25" customHeight="1">
      <c r="B13" s="743" t="s">
        <v>1076</v>
      </c>
      <c r="C13" s="743"/>
      <c r="D13" s="743"/>
      <c r="E13" s="743"/>
      <c r="F13" s="393"/>
      <c r="G13" s="421"/>
      <c r="H13" s="423" t="s">
        <v>384</v>
      </c>
    </row>
    <row r="14" spans="2:18" ht="29.25" customHeight="1">
      <c r="B14" s="738" t="s">
        <v>148</v>
      </c>
      <c r="C14" s="738"/>
      <c r="D14" s="738"/>
      <c r="E14" s="738"/>
      <c r="F14" s="393"/>
      <c r="G14" s="421"/>
      <c r="H14" s="423" t="s">
        <v>595</v>
      </c>
    </row>
    <row r="15" spans="2:18" ht="29.25" customHeight="1">
      <c r="B15" s="738" t="s">
        <v>147</v>
      </c>
      <c r="C15" s="738"/>
      <c r="D15" s="738"/>
      <c r="E15" s="738"/>
      <c r="F15" s="393"/>
      <c r="G15" s="421"/>
      <c r="H15" s="423"/>
    </row>
    <row r="16" spans="2:18" ht="29.25" customHeight="1">
      <c r="B16" s="738" t="s">
        <v>166</v>
      </c>
      <c r="C16" s="738"/>
      <c r="D16" s="738"/>
      <c r="E16" s="738"/>
      <c r="F16" s="393"/>
      <c r="G16" s="421"/>
      <c r="H16" s="423" t="s">
        <v>1080</v>
      </c>
    </row>
    <row r="17" spans="2:9" ht="29.25" customHeight="1">
      <c r="B17" s="738" t="s">
        <v>401</v>
      </c>
      <c r="C17" s="738"/>
      <c r="D17" s="738"/>
      <c r="E17" s="738"/>
      <c r="F17" s="393"/>
      <c r="G17" s="421"/>
      <c r="H17" s="423" t="s">
        <v>1081</v>
      </c>
    </row>
    <row r="18" spans="2:9" ht="29.25" customHeight="1">
      <c r="B18" s="738" t="s">
        <v>167</v>
      </c>
      <c r="C18" s="738"/>
      <c r="D18" s="738"/>
      <c r="E18" s="738"/>
      <c r="F18" s="393"/>
      <c r="G18" s="421"/>
      <c r="H18" s="423" t="s">
        <v>1429</v>
      </c>
      <c r="I18" s="424"/>
    </row>
    <row r="19" spans="2:9" ht="18" customHeight="1">
      <c r="B19" s="425"/>
      <c r="C19" s="425"/>
      <c r="D19" s="425"/>
      <c r="E19" s="425"/>
      <c r="F19" s="425"/>
      <c r="H19" s="424"/>
    </row>
    <row r="20" spans="2:9" ht="47.25" customHeight="1">
      <c r="B20" s="741" t="s">
        <v>1313</v>
      </c>
      <c r="C20" s="741"/>
      <c r="D20" s="741"/>
      <c r="E20" s="741"/>
      <c r="F20" s="741"/>
      <c r="G20" s="741"/>
      <c r="H20" s="741"/>
      <c r="I20" s="741"/>
    </row>
    <row r="21" spans="2:9" ht="11.25" customHeight="1">
      <c r="B21" s="425"/>
      <c r="C21" s="425"/>
      <c r="D21" s="425"/>
      <c r="E21" s="425"/>
      <c r="F21" s="425"/>
    </row>
    <row r="22" spans="2:9" ht="24.75" customHeight="1">
      <c r="B22" s="425"/>
      <c r="C22" s="425"/>
      <c r="D22" s="425"/>
      <c r="E22" s="425"/>
      <c r="F22" s="425"/>
    </row>
    <row r="23" spans="2:9" ht="23.25" thickBot="1">
      <c r="B23" s="742" t="s">
        <v>200</v>
      </c>
      <c r="C23" s="742"/>
      <c r="D23"/>
      <c r="E23" s="426" t="s">
        <v>201</v>
      </c>
      <c r="F23" s="427"/>
      <c r="G23" s="742" t="s">
        <v>202</v>
      </c>
      <c r="H23" s="742"/>
      <c r="I23" s="742"/>
    </row>
    <row r="24" spans="2:9" ht="56.25" customHeight="1">
      <c r="B24" s="740" t="s">
        <v>651</v>
      </c>
      <c r="C24" s="740"/>
      <c r="D24"/>
      <c r="E24" s="428" t="s">
        <v>203</v>
      </c>
      <c r="F24"/>
      <c r="G24" s="726"/>
      <c r="H24" s="726"/>
      <c r="I24" s="726"/>
    </row>
    <row r="25" spans="2:9" ht="56.25" customHeight="1">
      <c r="B25" s="740" t="s">
        <v>653</v>
      </c>
      <c r="C25" s="740"/>
      <c r="D25"/>
      <c r="E25" s="429" t="s">
        <v>654</v>
      </c>
      <c r="F25"/>
      <c r="G25" s="727"/>
      <c r="H25" s="727"/>
      <c r="I25" s="727"/>
    </row>
    <row r="26" spans="2:9" ht="56.25" customHeight="1">
      <c r="B26" s="740" t="s">
        <v>652</v>
      </c>
      <c r="C26" s="740"/>
      <c r="D26"/>
      <c r="E26" s="428" t="s">
        <v>204</v>
      </c>
      <c r="F26"/>
      <c r="G26" s="727"/>
      <c r="H26" s="727"/>
      <c r="I26" s="727"/>
    </row>
    <row r="29" spans="2:9">
      <c r="B29" s="735"/>
      <c r="C29" s="735"/>
      <c r="D29" s="735"/>
      <c r="E29" s="735"/>
      <c r="F29" s="735"/>
      <c r="G29" s="735"/>
      <c r="H29" s="735"/>
      <c r="I29" s="735"/>
    </row>
  </sheetData>
  <mergeCells count="26">
    <mergeCell ref="B29:I29"/>
    <mergeCell ref="B8:I8"/>
    <mergeCell ref="B12:E12"/>
    <mergeCell ref="B15:E15"/>
    <mergeCell ref="B11:E11"/>
    <mergeCell ref="B16:E16"/>
    <mergeCell ref="B17:E17"/>
    <mergeCell ref="B18:E18"/>
    <mergeCell ref="B24:C24"/>
    <mergeCell ref="B25:C25"/>
    <mergeCell ref="B20:I20"/>
    <mergeCell ref="B23:C23"/>
    <mergeCell ref="B13:E13"/>
    <mergeCell ref="B14:E14"/>
    <mergeCell ref="G23:I23"/>
    <mergeCell ref="B26:C26"/>
    <mergeCell ref="G24:I24"/>
    <mergeCell ref="G25:I25"/>
    <mergeCell ref="G26:I26"/>
    <mergeCell ref="B1:J1"/>
    <mergeCell ref="B2:J2"/>
    <mergeCell ref="B3:J3"/>
    <mergeCell ref="B9:I9"/>
    <mergeCell ref="B10:E10"/>
    <mergeCell ref="B5:I5"/>
    <mergeCell ref="B6:I6"/>
  </mergeCells>
  <printOptions horizontalCentered="1"/>
  <pageMargins left="0.55118110236220474" right="0.70866141732283472" top="0.98425196850393704" bottom="0.74803149606299213" header="0.31496062992125984" footer="0.31496062992125984"/>
  <pageSetup paperSize="9" scale="80" orientation="portrait" r:id="rId1"/>
  <headerFooter>
    <oddFooter>&amp;C&amp;"B Nazanin,Regular"1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rightToLeft="1" view="pageBreakPreview" zoomScaleNormal="130" zoomScaleSheetLayoutView="100" zoomScalePageLayoutView="70" workbookViewId="0">
      <selection activeCell="B35" sqref="B35"/>
    </sheetView>
  </sheetViews>
  <sheetFormatPr defaultColWidth="9" defaultRowHeight="21"/>
  <cols>
    <col min="1" max="1" width="1.140625" style="1" customWidth="1"/>
    <col min="2" max="2" width="20.7109375" style="59" customWidth="1"/>
    <col min="3" max="3" width="0.28515625" style="1" customWidth="1"/>
    <col min="4" max="4" width="17.42578125" style="1" customWidth="1"/>
    <col min="5" max="5" width="0.42578125" style="1" customWidth="1"/>
    <col min="6" max="6" width="13" style="2" customWidth="1"/>
    <col min="7" max="7" width="0.42578125" style="2" customWidth="1"/>
    <col min="8" max="8" width="13.7109375" style="1" customWidth="1"/>
    <col min="9" max="9" width="0.5703125" style="1" customWidth="1"/>
    <col min="10" max="10" width="3.7109375" style="1" hidden="1" customWidth="1"/>
    <col min="11" max="11" width="0.28515625" style="1" customWidth="1"/>
    <col min="12" max="12" width="15.140625" style="1" customWidth="1"/>
    <col min="13" max="13" width="0.42578125" style="1" customWidth="1"/>
    <col min="14" max="14" width="15.85546875" style="1" customWidth="1"/>
    <col min="15" max="15" width="0.42578125" style="1" customWidth="1"/>
    <col min="16" max="16" width="16.140625" style="1" customWidth="1"/>
    <col min="17" max="17" width="0.42578125" style="1" customWidth="1"/>
    <col min="18" max="18" width="17.140625" style="1" customWidth="1"/>
    <col min="19" max="19" width="0.42578125" style="1" customWidth="1"/>
    <col min="20" max="20" width="20.140625" style="1" customWidth="1"/>
    <col min="21" max="21" width="0.5703125" style="1" customWidth="1"/>
    <col min="22" max="22" width="9" style="1"/>
    <col min="23" max="23" width="18.28515625" style="1" bestFit="1" customWidth="1"/>
    <col min="24" max="16384" width="9" style="1"/>
  </cols>
  <sheetData>
    <row r="1" spans="1:22" ht="21.75" customHeight="1">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765"/>
      <c r="S1" s="765"/>
      <c r="T1" s="765"/>
    </row>
    <row r="2" spans="1:22" s="26" customFormat="1">
      <c r="A2" s="767" t="s">
        <v>33</v>
      </c>
      <c r="B2" s="767"/>
      <c r="C2" s="767"/>
      <c r="D2" s="767"/>
      <c r="E2" s="767"/>
      <c r="F2" s="767"/>
      <c r="G2" s="767"/>
      <c r="H2" s="767"/>
      <c r="I2" s="767"/>
      <c r="J2" s="767"/>
      <c r="K2" s="767"/>
      <c r="L2" s="767"/>
      <c r="M2" s="767"/>
      <c r="N2" s="767"/>
      <c r="O2" s="767"/>
      <c r="P2" s="767"/>
      <c r="Q2" s="767"/>
      <c r="R2" s="767"/>
      <c r="S2" s="767"/>
      <c r="T2" s="767"/>
    </row>
    <row r="3" spans="1:22">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c r="T3" s="767"/>
    </row>
    <row r="4" spans="1:22" ht="18" customHeight="1">
      <c r="A4" s="26"/>
      <c r="B4" s="901" t="s">
        <v>1389</v>
      </c>
      <c r="C4" s="901"/>
      <c r="D4" s="901"/>
      <c r="E4" s="901"/>
      <c r="F4" s="901"/>
      <c r="G4" s="901"/>
      <c r="H4" s="901"/>
      <c r="I4" s="26"/>
      <c r="J4" s="26"/>
    </row>
    <row r="5" spans="1:22" ht="18" customHeight="1">
      <c r="A5" s="26"/>
      <c r="B5" s="901" t="s">
        <v>1390</v>
      </c>
      <c r="C5" s="901"/>
      <c r="D5" s="901"/>
      <c r="E5" s="901"/>
      <c r="F5" s="901"/>
      <c r="G5" s="901"/>
      <c r="H5" s="901"/>
      <c r="I5" s="26"/>
      <c r="J5" s="26"/>
    </row>
    <row r="6" spans="1:22" ht="42.75" customHeight="1">
      <c r="A6" s="26"/>
      <c r="B6" s="858" t="s">
        <v>1128</v>
      </c>
      <c r="C6" s="858"/>
      <c r="D6" s="858"/>
      <c r="E6" s="858"/>
      <c r="F6" s="858"/>
      <c r="G6" s="858"/>
      <c r="H6" s="858"/>
      <c r="I6" s="858"/>
      <c r="J6" s="858"/>
      <c r="K6" s="858"/>
      <c r="L6" s="858"/>
      <c r="M6" s="858"/>
      <c r="N6" s="858"/>
      <c r="O6" s="858"/>
      <c r="P6" s="858"/>
      <c r="Q6" s="858"/>
      <c r="R6" s="858"/>
      <c r="S6" s="858"/>
      <c r="T6" s="858"/>
      <c r="U6" s="589"/>
      <c r="V6" s="589"/>
    </row>
    <row r="7" spans="1:22" ht="18" customHeight="1">
      <c r="A7" s="26"/>
      <c r="B7" s="213"/>
      <c r="C7" s="213"/>
      <c r="D7" s="213"/>
      <c r="E7" s="213"/>
      <c r="F7" s="213"/>
      <c r="G7" s="213"/>
      <c r="H7" s="213"/>
      <c r="I7" s="26"/>
      <c r="J7" s="26"/>
    </row>
    <row r="8" spans="1:22" ht="18" customHeight="1">
      <c r="A8" s="26"/>
      <c r="B8" s="901" t="s">
        <v>1391</v>
      </c>
      <c r="C8" s="901"/>
      <c r="D8" s="901"/>
      <c r="E8" s="901"/>
      <c r="F8" s="901"/>
      <c r="G8" s="901"/>
      <c r="H8" s="901"/>
      <c r="I8" s="26"/>
      <c r="J8" s="26"/>
    </row>
    <row r="9" spans="1:22" ht="21" customHeight="1">
      <c r="B9" s="93"/>
      <c r="C9" s="93"/>
      <c r="D9" s="902" t="s">
        <v>158</v>
      </c>
      <c r="E9" s="902"/>
      <c r="F9" s="902"/>
      <c r="G9" s="902"/>
      <c r="H9" s="902"/>
      <c r="I9" s="902"/>
      <c r="J9" s="902"/>
      <c r="K9" s="902"/>
      <c r="L9" s="902"/>
      <c r="M9" s="902"/>
      <c r="N9" s="902"/>
      <c r="O9" s="902"/>
      <c r="P9" s="902"/>
      <c r="Q9" s="31"/>
      <c r="R9" s="842" t="s">
        <v>562</v>
      </c>
      <c r="S9" s="212"/>
      <c r="T9" s="842" t="s">
        <v>563</v>
      </c>
    </row>
    <row r="10" spans="1:22" ht="34.5" customHeight="1">
      <c r="B10" s="93"/>
      <c r="C10" s="93"/>
      <c r="D10" s="130" t="s">
        <v>154</v>
      </c>
      <c r="E10" s="80"/>
      <c r="F10" s="205" t="s">
        <v>554</v>
      </c>
      <c r="H10" s="188" t="s">
        <v>555</v>
      </c>
      <c r="I10" s="2"/>
      <c r="J10" s="130" t="s">
        <v>556</v>
      </c>
      <c r="K10" s="2"/>
      <c r="L10" s="210" t="s">
        <v>557</v>
      </c>
      <c r="M10" s="2"/>
      <c r="N10" s="130" t="s">
        <v>155</v>
      </c>
      <c r="O10" s="2"/>
      <c r="P10" s="205" t="s">
        <v>558</v>
      </c>
      <c r="Q10" s="2"/>
      <c r="R10" s="843"/>
      <c r="S10" s="2"/>
      <c r="T10" s="843"/>
    </row>
    <row r="11" spans="1:22" ht="105">
      <c r="B11" s="93"/>
      <c r="C11" s="93"/>
      <c r="D11" s="58" t="s">
        <v>103</v>
      </c>
      <c r="E11" s="80"/>
      <c r="F11" s="58" t="s">
        <v>103</v>
      </c>
      <c r="H11" s="58" t="s">
        <v>103</v>
      </c>
      <c r="I11" s="31"/>
      <c r="J11" s="58" t="s">
        <v>103</v>
      </c>
      <c r="K11" s="31"/>
      <c r="L11" s="58" t="s">
        <v>103</v>
      </c>
      <c r="M11" s="2"/>
      <c r="N11" s="58" t="s">
        <v>103</v>
      </c>
      <c r="O11" s="2"/>
      <c r="P11" s="58" t="s">
        <v>103</v>
      </c>
      <c r="Q11" s="2"/>
      <c r="R11" s="58" t="s">
        <v>103</v>
      </c>
      <c r="S11" s="2"/>
      <c r="T11" s="58" t="s">
        <v>103</v>
      </c>
    </row>
    <row r="12" spans="1:22" ht="24.75">
      <c r="B12" s="93" t="s">
        <v>128</v>
      </c>
      <c r="C12" s="93"/>
      <c r="D12" s="625">
        <v>7032454531161</v>
      </c>
      <c r="E12" s="625"/>
      <c r="F12" s="634">
        <v>-101905900980</v>
      </c>
      <c r="G12" s="299"/>
      <c r="H12" s="625">
        <f>D12+F12</f>
        <v>6930548630181</v>
      </c>
      <c r="I12" s="632"/>
      <c r="J12" s="632" t="s">
        <v>455</v>
      </c>
      <c r="K12" s="632"/>
      <c r="L12" s="625">
        <v>1106591421</v>
      </c>
      <c r="M12" s="299"/>
      <c r="N12" s="625">
        <f>H12+L12</f>
        <v>6931655221602</v>
      </c>
      <c r="O12" s="299"/>
      <c r="P12" s="625">
        <f>N12</f>
        <v>6931655221602</v>
      </c>
      <c r="Q12" s="299"/>
      <c r="R12" s="625">
        <f>D12-N12</f>
        <v>100799309559</v>
      </c>
      <c r="S12" s="299"/>
      <c r="T12" s="299">
        <f>N12-P12</f>
        <v>0</v>
      </c>
    </row>
    <row r="13" spans="1:22" ht="24.75">
      <c r="B13" s="93" t="s">
        <v>108</v>
      </c>
      <c r="C13" s="93"/>
      <c r="D13" s="625">
        <v>151756906067</v>
      </c>
      <c r="E13" s="625"/>
      <c r="F13" s="625">
        <v>157932000000</v>
      </c>
      <c r="G13" s="299"/>
      <c r="H13" s="625">
        <f t="shared" ref="H13:H18" si="0">D13+F13</f>
        <v>309688906067</v>
      </c>
      <c r="I13" s="632"/>
      <c r="J13" s="632" t="s">
        <v>455</v>
      </c>
      <c r="K13" s="632"/>
      <c r="L13" s="625">
        <v>1714697000000</v>
      </c>
      <c r="M13" s="299"/>
      <c r="N13" s="625">
        <f t="shared" ref="N13:N19" si="1">H13+L13</f>
        <v>2024385906067</v>
      </c>
      <c r="O13" s="299"/>
      <c r="P13" s="625">
        <f t="shared" ref="P13:P18" si="2">N13</f>
        <v>2024385906067</v>
      </c>
      <c r="Q13" s="299"/>
      <c r="R13" s="625">
        <f t="shared" ref="R13:R18" si="3">D13-N13</f>
        <v>-1872629000000</v>
      </c>
      <c r="S13" s="299"/>
      <c r="T13" s="299">
        <f t="shared" ref="T13:T19" si="4">N13-P13</f>
        <v>0</v>
      </c>
    </row>
    <row r="14" spans="1:22" ht="24.75" hidden="1">
      <c r="B14" s="93" t="s">
        <v>564</v>
      </c>
      <c r="C14" s="93"/>
      <c r="D14" s="625">
        <v>0</v>
      </c>
      <c r="E14" s="625"/>
      <c r="F14" s="625">
        <v>0</v>
      </c>
      <c r="G14" s="299"/>
      <c r="H14" s="625">
        <f t="shared" si="0"/>
        <v>0</v>
      </c>
      <c r="I14" s="632"/>
      <c r="J14" s="632" t="s">
        <v>455</v>
      </c>
      <c r="K14" s="632"/>
      <c r="L14" s="299">
        <v>0</v>
      </c>
      <c r="M14" s="299"/>
      <c r="N14" s="625">
        <f t="shared" si="1"/>
        <v>0</v>
      </c>
      <c r="O14" s="299"/>
      <c r="P14" s="625">
        <f t="shared" si="2"/>
        <v>0</v>
      </c>
      <c r="Q14" s="299"/>
      <c r="R14" s="625">
        <f t="shared" si="3"/>
        <v>0</v>
      </c>
      <c r="S14" s="299"/>
      <c r="T14" s="299">
        <f t="shared" si="4"/>
        <v>0</v>
      </c>
    </row>
    <row r="15" spans="1:22" ht="23.25" customHeight="1">
      <c r="B15" s="93" t="s">
        <v>565</v>
      </c>
      <c r="C15" s="93"/>
      <c r="D15" s="625">
        <v>0</v>
      </c>
      <c r="E15" s="625"/>
      <c r="F15" s="625">
        <v>0</v>
      </c>
      <c r="G15" s="299"/>
      <c r="H15" s="625">
        <f t="shared" si="0"/>
        <v>0</v>
      </c>
      <c r="I15" s="632"/>
      <c r="J15" s="632" t="s">
        <v>455</v>
      </c>
      <c r="K15" s="632"/>
      <c r="L15" s="299">
        <v>0</v>
      </c>
      <c r="M15" s="299"/>
      <c r="N15" s="625">
        <f t="shared" si="1"/>
        <v>0</v>
      </c>
      <c r="O15" s="299"/>
      <c r="P15" s="625">
        <f t="shared" si="2"/>
        <v>0</v>
      </c>
      <c r="Q15" s="299"/>
      <c r="R15" s="625">
        <f t="shared" si="3"/>
        <v>0</v>
      </c>
      <c r="S15" s="299"/>
      <c r="T15" s="299">
        <f t="shared" si="4"/>
        <v>0</v>
      </c>
    </row>
    <row r="16" spans="1:22" ht="25.5" customHeight="1">
      <c r="B16" s="93" t="s">
        <v>109</v>
      </c>
      <c r="C16" s="93"/>
      <c r="D16" s="625"/>
      <c r="E16" s="625"/>
      <c r="F16" s="625">
        <v>0</v>
      </c>
      <c r="G16" s="299"/>
      <c r="H16" s="625">
        <f t="shared" si="0"/>
        <v>0</v>
      </c>
      <c r="I16" s="632"/>
      <c r="J16" s="632" t="s">
        <v>455</v>
      </c>
      <c r="K16" s="632"/>
      <c r="L16" s="625">
        <v>1270000000</v>
      </c>
      <c r="M16" s="299"/>
      <c r="N16" s="625">
        <f t="shared" si="1"/>
        <v>1270000000</v>
      </c>
      <c r="O16" s="299"/>
      <c r="P16" s="625">
        <f t="shared" si="2"/>
        <v>1270000000</v>
      </c>
      <c r="Q16" s="299"/>
      <c r="R16" s="625">
        <f t="shared" si="3"/>
        <v>-1270000000</v>
      </c>
      <c r="S16" s="299"/>
      <c r="T16" s="299">
        <f t="shared" si="4"/>
        <v>0</v>
      </c>
    </row>
    <row r="17" spans="1:23" ht="24.75">
      <c r="B17" s="93" t="s">
        <v>171</v>
      </c>
      <c r="C17" s="93"/>
      <c r="D17" s="625">
        <v>1316339562772</v>
      </c>
      <c r="E17" s="625"/>
      <c r="F17" s="625">
        <v>311864840635</v>
      </c>
      <c r="G17" s="299"/>
      <c r="H17" s="625">
        <f t="shared" si="0"/>
        <v>1628204403407</v>
      </c>
      <c r="I17" s="632"/>
      <c r="J17" s="632" t="s">
        <v>455</v>
      </c>
      <c r="K17" s="632"/>
      <c r="L17" s="625">
        <v>321650000</v>
      </c>
      <c r="M17" s="299"/>
      <c r="N17" s="625">
        <f t="shared" si="1"/>
        <v>1628526053407</v>
      </c>
      <c r="O17" s="299"/>
      <c r="P17" s="625">
        <f t="shared" si="2"/>
        <v>1628526053407</v>
      </c>
      <c r="Q17" s="299"/>
      <c r="R17" s="625">
        <f t="shared" si="3"/>
        <v>-312186490635</v>
      </c>
      <c r="S17" s="299"/>
      <c r="T17" s="299">
        <f t="shared" si="4"/>
        <v>0</v>
      </c>
    </row>
    <row r="18" spans="1:23" ht="23.25" customHeight="1">
      <c r="B18" s="93" t="s">
        <v>516</v>
      </c>
      <c r="C18" s="93"/>
      <c r="D18" s="625">
        <v>0</v>
      </c>
      <c r="E18" s="625"/>
      <c r="F18" s="625">
        <v>0</v>
      </c>
      <c r="G18" s="299"/>
      <c r="H18" s="625">
        <f t="shared" si="0"/>
        <v>0</v>
      </c>
      <c r="I18" s="632"/>
      <c r="J18" s="632" t="s">
        <v>455</v>
      </c>
      <c r="K18" s="632"/>
      <c r="L18" s="299">
        <v>0</v>
      </c>
      <c r="M18" s="299"/>
      <c r="N18" s="625">
        <f t="shared" si="1"/>
        <v>0</v>
      </c>
      <c r="O18" s="299"/>
      <c r="P18" s="625">
        <f t="shared" si="2"/>
        <v>0</v>
      </c>
      <c r="Q18" s="299"/>
      <c r="R18" s="625">
        <f t="shared" si="3"/>
        <v>0</v>
      </c>
      <c r="S18" s="299"/>
      <c r="T18" s="299">
        <f t="shared" si="4"/>
        <v>0</v>
      </c>
    </row>
    <row r="19" spans="1:23" ht="25.5" thickBot="1">
      <c r="B19" s="93"/>
      <c r="C19" s="93"/>
      <c r="D19" s="635">
        <f>SUM(D12:D18)</f>
        <v>8500551000000</v>
      </c>
      <c r="E19" s="625"/>
      <c r="F19" s="635">
        <f>SUM(F12:F18)</f>
        <v>367890939655</v>
      </c>
      <c r="G19" s="625"/>
      <c r="H19" s="635">
        <f>SUM(H12:H18)</f>
        <v>8868441939655</v>
      </c>
      <c r="I19" s="632"/>
      <c r="J19" s="631">
        <f>SUM(J12:J18)</f>
        <v>0</v>
      </c>
      <c r="K19" s="632"/>
      <c r="L19" s="635">
        <f>SUM(L12:L18)</f>
        <v>1717395241421</v>
      </c>
      <c r="M19" s="299"/>
      <c r="N19" s="635">
        <f t="shared" si="1"/>
        <v>10585837181076</v>
      </c>
      <c r="O19" s="299"/>
      <c r="P19" s="635">
        <f>SUM(P12:P18)</f>
        <v>10585837181076</v>
      </c>
      <c r="Q19" s="299"/>
      <c r="R19" s="635">
        <f>SUM(R12:R18)</f>
        <v>-2085286181076</v>
      </c>
      <c r="S19" s="299"/>
      <c r="T19" s="635">
        <f t="shared" si="4"/>
        <v>0</v>
      </c>
    </row>
    <row r="20" spans="1:23" ht="18" customHeight="1" thickTop="1">
      <c r="A20" s="26"/>
      <c r="B20" s="916" t="s">
        <v>1392</v>
      </c>
      <c r="C20" s="916"/>
      <c r="D20" s="916"/>
      <c r="E20" s="916"/>
      <c r="F20" s="916"/>
      <c r="G20" s="916"/>
      <c r="H20" s="916"/>
      <c r="I20" s="916"/>
      <c r="J20" s="916"/>
      <c r="K20" s="916"/>
      <c r="L20" s="916"/>
      <c r="M20" s="916"/>
      <c r="N20" s="916"/>
      <c r="O20" s="916"/>
      <c r="P20" s="916"/>
      <c r="Q20" s="916"/>
      <c r="R20" s="916"/>
      <c r="S20" s="916"/>
      <c r="T20" s="916"/>
    </row>
    <row r="21" spans="1:23" ht="18" customHeight="1">
      <c r="A21" s="26"/>
      <c r="B21" s="213"/>
      <c r="C21" s="213"/>
      <c r="D21" s="213"/>
      <c r="E21" s="213"/>
      <c r="F21" s="213"/>
      <c r="G21" s="213"/>
      <c r="H21" s="213"/>
      <c r="I21" s="26"/>
      <c r="J21" s="26"/>
    </row>
    <row r="22" spans="1:23" ht="18" customHeight="1">
      <c r="A22" s="26"/>
      <c r="B22" s="901" t="s">
        <v>1393</v>
      </c>
      <c r="C22" s="901"/>
      <c r="D22" s="901"/>
      <c r="E22" s="901"/>
      <c r="F22" s="901"/>
      <c r="G22" s="901"/>
      <c r="H22" s="901"/>
      <c r="I22" s="26"/>
      <c r="J22" s="26"/>
    </row>
    <row r="23" spans="1:23" ht="21" customHeight="1">
      <c r="B23" s="93"/>
      <c r="C23" s="93"/>
      <c r="D23" s="902" t="s">
        <v>158</v>
      </c>
      <c r="E23" s="902"/>
      <c r="F23" s="902"/>
      <c r="G23" s="902"/>
      <c r="H23" s="902"/>
      <c r="I23" s="902"/>
      <c r="J23" s="902"/>
      <c r="K23" s="902"/>
      <c r="L23" s="902"/>
      <c r="M23" s="902"/>
      <c r="N23" s="902"/>
      <c r="O23" s="902"/>
      <c r="P23" s="902"/>
      <c r="R23" s="917" t="s">
        <v>562</v>
      </c>
      <c r="S23" s="212"/>
      <c r="T23" s="842" t="s">
        <v>563</v>
      </c>
    </row>
    <row r="24" spans="1:23">
      <c r="B24" s="93"/>
      <c r="C24" s="93"/>
      <c r="D24" s="130" t="s">
        <v>154</v>
      </c>
      <c r="E24" s="80"/>
      <c r="F24" s="205" t="s">
        <v>554</v>
      </c>
      <c r="H24" s="188" t="s">
        <v>555</v>
      </c>
      <c r="I24" s="2"/>
      <c r="J24" s="130" t="s">
        <v>556</v>
      </c>
      <c r="K24" s="2"/>
      <c r="L24" s="210" t="s">
        <v>557</v>
      </c>
      <c r="M24" s="2"/>
      <c r="N24" s="130" t="s">
        <v>155</v>
      </c>
      <c r="O24" s="2"/>
      <c r="P24" s="130" t="s">
        <v>558</v>
      </c>
      <c r="R24" s="918"/>
      <c r="S24" s="2"/>
      <c r="T24" s="843"/>
    </row>
    <row r="25" spans="1:23" ht="105">
      <c r="B25" s="93"/>
      <c r="C25" s="93"/>
      <c r="D25" s="58" t="s">
        <v>103</v>
      </c>
      <c r="E25" s="80"/>
      <c r="F25" s="58" t="s">
        <v>103</v>
      </c>
      <c r="H25" s="58" t="s">
        <v>103</v>
      </c>
      <c r="I25" s="31"/>
      <c r="J25" s="58" t="s">
        <v>103</v>
      </c>
      <c r="K25" s="31"/>
      <c r="L25" s="58" t="s">
        <v>103</v>
      </c>
      <c r="M25" s="2"/>
      <c r="N25" s="58" t="s">
        <v>103</v>
      </c>
      <c r="O25" s="2"/>
      <c r="P25" s="58" t="s">
        <v>70</v>
      </c>
      <c r="R25" s="58" t="s">
        <v>103</v>
      </c>
      <c r="S25" s="2"/>
      <c r="T25" s="58" t="s">
        <v>103</v>
      </c>
    </row>
    <row r="26" spans="1:23" ht="24.75">
      <c r="B26" s="93" t="s">
        <v>128</v>
      </c>
      <c r="C26" s="93"/>
      <c r="D26" s="625">
        <v>1042922151220</v>
      </c>
      <c r="E26" s="625"/>
      <c r="F26" s="625">
        <v>0</v>
      </c>
      <c r="G26" s="299"/>
      <c r="H26" s="625">
        <f>D26+F26</f>
        <v>1042922151220</v>
      </c>
      <c r="I26" s="632"/>
      <c r="J26" s="632" t="s">
        <v>455</v>
      </c>
      <c r="K26" s="632"/>
      <c r="L26" s="299">
        <v>0</v>
      </c>
      <c r="M26" s="299"/>
      <c r="N26" s="625">
        <f>H26+L26</f>
        <v>1042922151220</v>
      </c>
      <c r="O26" s="299"/>
      <c r="P26" s="625">
        <v>1042922151220</v>
      </c>
      <c r="Q26" s="43"/>
      <c r="R26" s="299">
        <f t="shared" ref="R26:R33" si="5">D26-N26</f>
        <v>0</v>
      </c>
      <c r="S26" s="299"/>
      <c r="T26" s="299">
        <f t="shared" ref="T26:T32" si="6">N26-P26</f>
        <v>0</v>
      </c>
    </row>
    <row r="27" spans="1:23" ht="24.75">
      <c r="B27" s="93" t="s">
        <v>108</v>
      </c>
      <c r="C27" s="93"/>
      <c r="D27" s="625">
        <v>2217255158579</v>
      </c>
      <c r="E27" s="625"/>
      <c r="F27" s="625">
        <v>598958750000</v>
      </c>
      <c r="G27" s="299"/>
      <c r="H27" s="625">
        <f t="shared" ref="H27:H32" si="7">D27+F27</f>
        <v>2816213908579</v>
      </c>
      <c r="I27" s="632"/>
      <c r="J27" s="632" t="s">
        <v>455</v>
      </c>
      <c r="K27" s="632"/>
      <c r="L27" s="625">
        <v>442269000000</v>
      </c>
      <c r="M27" s="299"/>
      <c r="N27" s="625">
        <f t="shared" ref="N27:N32" si="8">H27+L27</f>
        <v>3258482908579</v>
      </c>
      <c r="O27" s="299"/>
      <c r="P27" s="625">
        <v>2892479167694</v>
      </c>
      <c r="Q27" s="43"/>
      <c r="R27" s="299">
        <f t="shared" si="5"/>
        <v>-1041227750000</v>
      </c>
      <c r="S27" s="299"/>
      <c r="T27" s="299">
        <f t="shared" si="6"/>
        <v>366003740885</v>
      </c>
      <c r="W27" s="80"/>
    </row>
    <row r="28" spans="1:23" ht="24.75">
      <c r="B28" s="93" t="s">
        <v>564</v>
      </c>
      <c r="C28" s="93"/>
      <c r="D28" s="625">
        <v>65661611306</v>
      </c>
      <c r="E28" s="625"/>
      <c r="F28" s="625">
        <v>0</v>
      </c>
      <c r="G28" s="299"/>
      <c r="H28" s="625">
        <f t="shared" si="7"/>
        <v>65661611306</v>
      </c>
      <c r="I28" s="632"/>
      <c r="J28" s="632" t="s">
        <v>455</v>
      </c>
      <c r="K28" s="632"/>
      <c r="L28" s="299">
        <v>0</v>
      </c>
      <c r="M28" s="299"/>
      <c r="N28" s="625">
        <f t="shared" si="8"/>
        <v>65661611306</v>
      </c>
      <c r="O28" s="299"/>
      <c r="P28" s="625">
        <v>65661611306</v>
      </c>
      <c r="Q28" s="43"/>
      <c r="R28" s="299">
        <f t="shared" si="5"/>
        <v>0</v>
      </c>
      <c r="S28" s="299"/>
      <c r="T28" s="299">
        <f t="shared" si="6"/>
        <v>0</v>
      </c>
    </row>
    <row r="29" spans="1:23" ht="21" hidden="1" customHeight="1">
      <c r="B29" s="93" t="s">
        <v>565</v>
      </c>
      <c r="C29" s="93"/>
      <c r="D29" s="625">
        <v>0</v>
      </c>
      <c r="E29" s="625"/>
      <c r="F29" s="625">
        <v>0</v>
      </c>
      <c r="G29" s="299"/>
      <c r="H29" s="632">
        <f t="shared" si="7"/>
        <v>0</v>
      </c>
      <c r="I29" s="632"/>
      <c r="J29" s="632" t="s">
        <v>455</v>
      </c>
      <c r="K29" s="632"/>
      <c r="L29" s="299">
        <v>0</v>
      </c>
      <c r="M29" s="299"/>
      <c r="N29" s="625">
        <f t="shared" si="8"/>
        <v>0</v>
      </c>
      <c r="O29" s="299"/>
      <c r="P29" s="43"/>
      <c r="Q29" s="43"/>
      <c r="R29" s="299">
        <f t="shared" si="5"/>
        <v>0</v>
      </c>
      <c r="S29" s="299"/>
      <c r="T29" s="299">
        <f t="shared" si="6"/>
        <v>0</v>
      </c>
    </row>
    <row r="30" spans="1:23" ht="21" hidden="1" customHeight="1">
      <c r="B30" s="93" t="s">
        <v>109</v>
      </c>
      <c r="C30" s="93"/>
      <c r="D30" s="625">
        <v>0</v>
      </c>
      <c r="E30" s="625"/>
      <c r="F30" s="625">
        <v>0</v>
      </c>
      <c r="G30" s="299"/>
      <c r="H30" s="632">
        <f t="shared" si="7"/>
        <v>0</v>
      </c>
      <c r="I30" s="632"/>
      <c r="J30" s="632" t="s">
        <v>455</v>
      </c>
      <c r="K30" s="632"/>
      <c r="L30" s="299">
        <v>0</v>
      </c>
      <c r="M30" s="299"/>
      <c r="N30" s="625">
        <f t="shared" si="8"/>
        <v>0</v>
      </c>
      <c r="O30" s="299"/>
      <c r="P30" s="43"/>
      <c r="Q30" s="43"/>
      <c r="R30" s="299">
        <f t="shared" si="5"/>
        <v>0</v>
      </c>
      <c r="S30" s="299"/>
      <c r="T30" s="299">
        <f t="shared" si="6"/>
        <v>0</v>
      </c>
    </row>
    <row r="31" spans="1:23" ht="24.75">
      <c r="B31" s="93" t="s">
        <v>171</v>
      </c>
      <c r="C31" s="93"/>
      <c r="D31" s="625">
        <v>258482295450</v>
      </c>
      <c r="E31" s="625"/>
      <c r="F31" s="625">
        <v>0</v>
      </c>
      <c r="G31" s="299"/>
      <c r="H31" s="625">
        <f t="shared" si="7"/>
        <v>258482295450</v>
      </c>
      <c r="I31" s="632"/>
      <c r="J31" s="632" t="s">
        <v>455</v>
      </c>
      <c r="K31" s="632"/>
      <c r="L31" s="299">
        <v>0</v>
      </c>
      <c r="M31" s="299"/>
      <c r="N31" s="625">
        <f t="shared" si="8"/>
        <v>258482295450</v>
      </c>
      <c r="O31" s="299"/>
      <c r="P31" s="625">
        <v>258482295450</v>
      </c>
      <c r="Q31" s="43"/>
      <c r="R31" s="299">
        <f t="shared" si="5"/>
        <v>0</v>
      </c>
      <c r="S31" s="299"/>
      <c r="T31" s="299">
        <f t="shared" si="6"/>
        <v>0</v>
      </c>
    </row>
    <row r="32" spans="1:23" ht="24.75">
      <c r="B32" s="93" t="s">
        <v>516</v>
      </c>
      <c r="C32" s="93"/>
      <c r="D32" s="625">
        <v>340678783445</v>
      </c>
      <c r="E32" s="625"/>
      <c r="F32" s="625">
        <v>0</v>
      </c>
      <c r="G32" s="299"/>
      <c r="H32" s="625">
        <f t="shared" si="7"/>
        <v>340678783445</v>
      </c>
      <c r="I32" s="632"/>
      <c r="J32" s="632" t="s">
        <v>455</v>
      </c>
      <c r="K32" s="632"/>
      <c r="L32" s="299">
        <v>0</v>
      </c>
      <c r="M32" s="299"/>
      <c r="N32" s="625">
        <f t="shared" si="8"/>
        <v>340678783445</v>
      </c>
      <c r="O32" s="299"/>
      <c r="P32" s="625">
        <v>340678783445</v>
      </c>
      <c r="Q32" s="43"/>
      <c r="R32" s="299">
        <f t="shared" si="5"/>
        <v>0</v>
      </c>
      <c r="S32" s="299"/>
      <c r="T32" s="299">
        <f t="shared" si="6"/>
        <v>0</v>
      </c>
    </row>
    <row r="33" spans="2:20" ht="25.5" thickBot="1">
      <c r="B33" s="93"/>
      <c r="C33" s="93"/>
      <c r="D33" s="631">
        <f>SUM(D26:D32)</f>
        <v>3925000000000</v>
      </c>
      <c r="E33" s="625"/>
      <c r="F33" s="631">
        <f>SUM(F26:F32)</f>
        <v>598958750000</v>
      </c>
      <c r="G33" s="299"/>
      <c r="H33" s="631">
        <f>D33+F33</f>
        <v>4523958750000</v>
      </c>
      <c r="I33" s="632"/>
      <c r="J33" s="631">
        <f>SUM(J26:J32)</f>
        <v>0</v>
      </c>
      <c r="K33" s="632"/>
      <c r="L33" s="631">
        <f>SUM(L26:L32)</f>
        <v>442269000000</v>
      </c>
      <c r="M33" s="299"/>
      <c r="N33" s="631">
        <f>H33+L33</f>
        <v>4966227750000</v>
      </c>
      <c r="O33" s="299"/>
      <c r="P33" s="631">
        <f>SUM(P26:P32)</f>
        <v>4600224009115</v>
      </c>
      <c r="Q33" s="43"/>
      <c r="R33" s="631">
        <f t="shared" si="5"/>
        <v>-1041227750000</v>
      </c>
      <c r="S33" s="299"/>
      <c r="T33" s="631">
        <f>SUM(T26:T32)</f>
        <v>366003740885</v>
      </c>
    </row>
    <row r="34" spans="2:20" ht="21.75" thickTop="1">
      <c r="B34" s="916" t="s">
        <v>1394</v>
      </c>
      <c r="C34" s="916"/>
      <c r="D34" s="916"/>
      <c r="E34" s="916"/>
      <c r="F34" s="916"/>
      <c r="G34" s="916"/>
      <c r="H34" s="916"/>
      <c r="I34" s="916"/>
      <c r="J34" s="916"/>
      <c r="K34" s="916"/>
      <c r="L34" s="916"/>
      <c r="M34" s="916"/>
      <c r="N34" s="916"/>
      <c r="O34" s="916"/>
      <c r="P34" s="916"/>
      <c r="Q34" s="916"/>
      <c r="R34" s="916"/>
    </row>
  </sheetData>
  <mergeCells count="16">
    <mergeCell ref="D23:P23"/>
    <mergeCell ref="T23:T24"/>
    <mergeCell ref="B6:T6"/>
    <mergeCell ref="B34:R34"/>
    <mergeCell ref="A1:T1"/>
    <mergeCell ref="A2:T2"/>
    <mergeCell ref="A3:T3"/>
    <mergeCell ref="B4:H4"/>
    <mergeCell ref="D9:P9"/>
    <mergeCell ref="R9:R10"/>
    <mergeCell ref="B5:H5"/>
    <mergeCell ref="B8:H8"/>
    <mergeCell ref="T9:T10"/>
    <mergeCell ref="B22:H22"/>
    <mergeCell ref="R23:R24"/>
    <mergeCell ref="B20:T20"/>
  </mergeCells>
  <pageMargins left="0.70866141732283505" right="0.70866141732283505" top="0.74803149606299202" bottom="0.74803149606299202" header="0.31496062992126" footer="0.31496062992126"/>
  <pageSetup scale="58" firstPageNumber="47" orientation="portrait" useFirstPageNumber="1" r:id="rId1"/>
  <headerFooter>
    <oddFooter>&amp;C&amp;"B Nazanin,Regular"&amp;14&amp;P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rightToLeft="1" view="pageLayout" topLeftCell="A25" zoomScaleNormal="115" zoomScaleSheetLayoutView="100" workbookViewId="0">
      <selection activeCell="B21" sqref="B21"/>
    </sheetView>
  </sheetViews>
  <sheetFormatPr defaultColWidth="9" defaultRowHeight="21"/>
  <cols>
    <col min="1" max="1" width="1.140625" style="1" customWidth="1"/>
    <col min="2" max="2" width="22.28515625" style="59" customWidth="1"/>
    <col min="3" max="3" width="0.28515625" style="1" customWidth="1"/>
    <col min="4" max="4" width="17.42578125" style="1" customWidth="1"/>
    <col min="5" max="5" width="0.42578125" style="1" customWidth="1"/>
    <col min="6" max="6" width="15.85546875" style="2" customWidth="1"/>
    <col min="7" max="7" width="0.42578125" style="2" customWidth="1"/>
    <col min="8" max="8" width="14.42578125" style="1" customWidth="1"/>
    <col min="9" max="9" width="0.42578125" style="1" customWidth="1"/>
    <col min="10" max="10" width="12.5703125" style="1" customWidth="1"/>
    <col min="11" max="11" width="0.28515625" style="1" customWidth="1"/>
    <col min="12" max="12" width="6.5703125" style="1" customWidth="1"/>
    <col min="13" max="13" width="0.42578125" style="1" customWidth="1"/>
    <col min="14" max="14" width="9.5703125" style="1" customWidth="1"/>
    <col min="15" max="15" width="0.42578125" style="1" customWidth="1"/>
    <col min="16" max="16" width="20.28515625" style="1" customWidth="1"/>
    <col min="17" max="17" width="0.42578125" style="1" customWidth="1"/>
    <col min="18" max="18" width="14.5703125" style="1" customWidth="1"/>
    <col min="19" max="19" width="0.42578125" style="1" customWidth="1"/>
    <col min="20" max="20" width="9" style="1"/>
    <col min="21" max="21" width="18.28515625" style="1" bestFit="1" customWidth="1"/>
    <col min="22" max="22" width="17.5703125" style="1" bestFit="1" customWidth="1"/>
    <col min="23" max="16384" width="9" style="1"/>
  </cols>
  <sheetData>
    <row r="1" spans="1:19" ht="21.75" customHeight="1">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765"/>
      <c r="S1" s="765"/>
    </row>
    <row r="2" spans="1:19" s="26" customFormat="1">
      <c r="A2" s="767" t="s">
        <v>33</v>
      </c>
      <c r="B2" s="767"/>
      <c r="C2" s="767"/>
      <c r="D2" s="767"/>
      <c r="E2" s="767"/>
      <c r="F2" s="767"/>
      <c r="G2" s="767"/>
      <c r="H2" s="767"/>
      <c r="I2" s="767"/>
      <c r="J2" s="767"/>
      <c r="K2" s="767"/>
      <c r="L2" s="767"/>
      <c r="M2" s="767"/>
      <c r="N2" s="767"/>
      <c r="O2" s="767"/>
      <c r="P2" s="767"/>
      <c r="Q2" s="767"/>
      <c r="R2" s="767"/>
      <c r="S2" s="767"/>
    </row>
    <row r="3" spans="1:19">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row>
    <row r="4" spans="1:19" ht="18" customHeight="1">
      <c r="A4" s="26"/>
      <c r="B4" s="901" t="s">
        <v>1395</v>
      </c>
      <c r="C4" s="901"/>
      <c r="D4" s="901"/>
      <c r="E4" s="901"/>
      <c r="F4" s="901"/>
      <c r="G4" s="901"/>
      <c r="H4" s="901"/>
      <c r="I4" s="26"/>
      <c r="J4" s="26"/>
    </row>
    <row r="5" spans="1:19" ht="21" customHeight="1">
      <c r="B5" s="93"/>
      <c r="C5" s="93"/>
      <c r="D5" s="884" t="s">
        <v>176</v>
      </c>
      <c r="E5" s="86"/>
      <c r="F5" s="902" t="s">
        <v>156</v>
      </c>
      <c r="G5" s="902"/>
      <c r="H5" s="902"/>
      <c r="I5" s="902"/>
      <c r="J5" s="902"/>
      <c r="K5" s="902"/>
      <c r="L5" s="902"/>
      <c r="M5" s="902"/>
      <c r="N5" s="902"/>
      <c r="O5" s="902"/>
      <c r="P5" s="902"/>
      <c r="Q5" s="31"/>
      <c r="R5" s="842" t="s">
        <v>157</v>
      </c>
      <c r="S5" s="212"/>
    </row>
    <row r="6" spans="1:19" ht="21" customHeight="1">
      <c r="B6" s="93"/>
      <c r="C6" s="93"/>
      <c r="D6" s="884"/>
      <c r="E6" s="86"/>
      <c r="F6" s="919" t="s">
        <v>566</v>
      </c>
      <c r="G6" s="80"/>
      <c r="H6" s="920" t="s">
        <v>567</v>
      </c>
      <c r="I6" s="920"/>
      <c r="J6" s="920"/>
      <c r="K6" s="80"/>
      <c r="L6" s="921" t="s">
        <v>570</v>
      </c>
      <c r="M6" s="80"/>
      <c r="N6" s="923" t="s">
        <v>571</v>
      </c>
      <c r="O6" s="80"/>
      <c r="P6" s="919" t="s">
        <v>24</v>
      </c>
      <c r="Q6" s="31"/>
      <c r="R6" s="842"/>
      <c r="S6" s="212"/>
    </row>
    <row r="7" spans="1:19">
      <c r="B7" s="93"/>
      <c r="C7" s="93"/>
      <c r="D7" s="902"/>
      <c r="E7" s="80"/>
      <c r="F7" s="843"/>
      <c r="H7" s="188" t="s">
        <v>568</v>
      </c>
      <c r="I7" s="2"/>
      <c r="J7" s="130" t="s">
        <v>569</v>
      </c>
      <c r="K7" s="2"/>
      <c r="L7" s="922"/>
      <c r="M7" s="2"/>
      <c r="N7" s="902"/>
      <c r="O7" s="2"/>
      <c r="P7" s="843"/>
      <c r="Q7" s="2"/>
      <c r="R7" s="843"/>
      <c r="S7" s="2"/>
    </row>
    <row r="8" spans="1:19" ht="42">
      <c r="B8" s="93"/>
      <c r="C8" s="93"/>
      <c r="D8" s="58" t="s">
        <v>103</v>
      </c>
      <c r="E8" s="80"/>
      <c r="F8" s="58" t="s">
        <v>103</v>
      </c>
      <c r="H8" s="58" t="s">
        <v>103</v>
      </c>
      <c r="I8" s="31"/>
      <c r="J8" s="58" t="s">
        <v>103</v>
      </c>
      <c r="K8" s="31"/>
      <c r="L8" s="58" t="s">
        <v>103</v>
      </c>
      <c r="M8" s="2"/>
      <c r="N8" s="58" t="s">
        <v>103</v>
      </c>
      <c r="O8" s="2"/>
      <c r="P8" s="58" t="s">
        <v>103</v>
      </c>
      <c r="Q8" s="2"/>
      <c r="R8" s="58" t="s">
        <v>103</v>
      </c>
      <c r="S8" s="2"/>
    </row>
    <row r="9" spans="1:19" ht="24.75">
      <c r="B9" s="93" t="s">
        <v>128</v>
      </c>
      <c r="C9" s="93"/>
      <c r="D9" s="625">
        <v>6931655221602</v>
      </c>
      <c r="E9" s="625"/>
      <c r="F9" s="625">
        <v>6930877340196</v>
      </c>
      <c r="G9" s="299"/>
      <c r="H9" s="632">
        <v>0</v>
      </c>
      <c r="I9" s="632"/>
      <c r="J9" s="632" t="s">
        <v>455</v>
      </c>
      <c r="K9" s="632"/>
      <c r="L9" s="299">
        <v>0</v>
      </c>
      <c r="M9" s="299"/>
      <c r="N9" s="299">
        <v>0</v>
      </c>
      <c r="O9" s="299"/>
      <c r="P9" s="625">
        <f>F9</f>
        <v>6930877340196</v>
      </c>
      <c r="Q9" s="299"/>
      <c r="R9" s="625">
        <f t="shared" ref="R9:R14" si="0">D9-P9</f>
        <v>777881406</v>
      </c>
      <c r="S9" s="2"/>
    </row>
    <row r="10" spans="1:19" ht="24.75">
      <c r="B10" s="93" t="s">
        <v>108</v>
      </c>
      <c r="C10" s="109"/>
      <c r="D10" s="625">
        <v>2024385906067</v>
      </c>
      <c r="E10" s="625"/>
      <c r="F10" s="625">
        <v>1465123117516</v>
      </c>
      <c r="G10" s="299"/>
      <c r="H10" s="625"/>
      <c r="I10" s="632"/>
      <c r="J10" s="632" t="s">
        <v>455</v>
      </c>
      <c r="K10" s="632"/>
      <c r="L10" s="299">
        <v>0</v>
      </c>
      <c r="M10" s="299"/>
      <c r="N10" s="299">
        <v>0</v>
      </c>
      <c r="O10" s="299"/>
      <c r="P10" s="625">
        <f>F10+H10</f>
        <v>1465123117516</v>
      </c>
      <c r="Q10" s="299"/>
      <c r="R10" s="625">
        <f t="shared" si="0"/>
        <v>559262788551</v>
      </c>
      <c r="S10" s="2"/>
    </row>
    <row r="11" spans="1:19" ht="24.75" hidden="1">
      <c r="B11" s="93" t="s">
        <v>564</v>
      </c>
      <c r="C11" s="109"/>
      <c r="D11" s="625">
        <v>0</v>
      </c>
      <c r="E11" s="625"/>
      <c r="F11" s="625">
        <v>0</v>
      </c>
      <c r="G11" s="299"/>
      <c r="H11" s="632">
        <v>0</v>
      </c>
      <c r="I11" s="632"/>
      <c r="J11" s="632" t="s">
        <v>455</v>
      </c>
      <c r="K11" s="632"/>
      <c r="L11" s="299">
        <v>0</v>
      </c>
      <c r="M11" s="299"/>
      <c r="N11" s="299">
        <v>0</v>
      </c>
      <c r="O11" s="299"/>
      <c r="P11" s="299">
        <f>F11</f>
        <v>0</v>
      </c>
      <c r="Q11" s="299"/>
      <c r="R11" s="625">
        <f t="shared" si="0"/>
        <v>0</v>
      </c>
      <c r="S11" s="2"/>
    </row>
    <row r="12" spans="1:19" ht="24.75" hidden="1">
      <c r="B12" s="93" t="s">
        <v>565</v>
      </c>
      <c r="C12" s="109"/>
      <c r="D12" s="625">
        <v>0</v>
      </c>
      <c r="E12" s="625"/>
      <c r="F12" s="625">
        <v>0</v>
      </c>
      <c r="G12" s="299"/>
      <c r="H12" s="632">
        <v>0</v>
      </c>
      <c r="I12" s="632"/>
      <c r="J12" s="632" t="s">
        <v>455</v>
      </c>
      <c r="K12" s="632"/>
      <c r="L12" s="299">
        <v>0</v>
      </c>
      <c r="M12" s="299"/>
      <c r="N12" s="299">
        <v>0</v>
      </c>
      <c r="O12" s="299"/>
      <c r="P12" s="299">
        <f>F12</f>
        <v>0</v>
      </c>
      <c r="Q12" s="299"/>
      <c r="R12" s="625">
        <f t="shared" si="0"/>
        <v>0</v>
      </c>
      <c r="S12" s="2"/>
    </row>
    <row r="13" spans="1:19" ht="24.75">
      <c r="B13" s="93" t="s">
        <v>109</v>
      </c>
      <c r="C13" s="109"/>
      <c r="D13" s="625">
        <v>1270000000</v>
      </c>
      <c r="E13" s="625"/>
      <c r="F13" s="625">
        <v>1000000000</v>
      </c>
      <c r="G13" s="299"/>
      <c r="H13" s="632">
        <v>0</v>
      </c>
      <c r="I13" s="632"/>
      <c r="J13" s="632" t="s">
        <v>455</v>
      </c>
      <c r="K13" s="632"/>
      <c r="L13" s="299">
        <v>0</v>
      </c>
      <c r="M13" s="299"/>
      <c r="N13" s="299">
        <v>0</v>
      </c>
      <c r="O13" s="299"/>
      <c r="P13" s="625">
        <f>F13</f>
        <v>1000000000</v>
      </c>
      <c r="Q13" s="299"/>
      <c r="R13" s="625">
        <f t="shared" si="0"/>
        <v>270000000</v>
      </c>
      <c r="S13" s="2"/>
    </row>
    <row r="14" spans="1:19" ht="24.75">
      <c r="B14" s="93" t="s">
        <v>171</v>
      </c>
      <c r="C14" s="109"/>
      <c r="D14" s="625">
        <v>1628526053407</v>
      </c>
      <c r="E14" s="625"/>
      <c r="F14" s="625">
        <v>1628238200204</v>
      </c>
      <c r="G14" s="299"/>
      <c r="H14" s="632">
        <v>0</v>
      </c>
      <c r="I14" s="632"/>
      <c r="J14" s="632" t="s">
        <v>455</v>
      </c>
      <c r="K14" s="632"/>
      <c r="L14" s="299">
        <v>0</v>
      </c>
      <c r="M14" s="299"/>
      <c r="N14" s="299">
        <v>0</v>
      </c>
      <c r="O14" s="299"/>
      <c r="P14" s="625">
        <f>F14</f>
        <v>1628238200204</v>
      </c>
      <c r="Q14" s="299"/>
      <c r="R14" s="625">
        <f t="shared" si="0"/>
        <v>287853203</v>
      </c>
      <c r="S14" s="2"/>
    </row>
    <row r="15" spans="1:19" ht="24.75" hidden="1">
      <c r="B15" s="93" t="s">
        <v>516</v>
      </c>
      <c r="C15" s="109"/>
      <c r="D15" s="625">
        <v>0</v>
      </c>
      <c r="E15" s="625"/>
      <c r="F15" s="625"/>
      <c r="G15" s="299"/>
      <c r="H15" s="632">
        <v>0</v>
      </c>
      <c r="I15" s="632"/>
      <c r="J15" s="632" t="s">
        <v>455</v>
      </c>
      <c r="K15" s="632"/>
      <c r="L15" s="299">
        <v>0</v>
      </c>
      <c r="M15" s="299"/>
      <c r="N15" s="299">
        <v>0</v>
      </c>
      <c r="O15" s="299"/>
      <c r="P15" s="299">
        <f>F15</f>
        <v>0</v>
      </c>
      <c r="Q15" s="299"/>
      <c r="R15" s="625">
        <f>D15-F15</f>
        <v>0</v>
      </c>
      <c r="S15" s="2"/>
    </row>
    <row r="16" spans="1:19" ht="25.5" thickBot="1">
      <c r="B16" s="93"/>
      <c r="C16" s="109"/>
      <c r="D16" s="631">
        <f>SUM(D9:D15)</f>
        <v>10585837181076</v>
      </c>
      <c r="E16" s="625"/>
      <c r="F16" s="631">
        <f>SUM(F9:F15)</f>
        <v>10025238657916</v>
      </c>
      <c r="G16" s="299"/>
      <c r="H16" s="631">
        <f>SUM(H9:H15)</f>
        <v>0</v>
      </c>
      <c r="I16" s="632"/>
      <c r="J16" s="631">
        <f>SUM(J9:J15)</f>
        <v>0</v>
      </c>
      <c r="K16" s="632"/>
      <c r="L16" s="631">
        <f>SUM(L9:L15)</f>
        <v>0</v>
      </c>
      <c r="M16" s="299"/>
      <c r="N16" s="631">
        <f>SUM(N9:N15)</f>
        <v>0</v>
      </c>
      <c r="O16" s="299"/>
      <c r="P16" s="631">
        <f>F16+H16</f>
        <v>10025238657916</v>
      </c>
      <c r="Q16" s="299"/>
      <c r="R16" s="631">
        <f>D16-F16-H16</f>
        <v>560598523160</v>
      </c>
      <c r="S16" s="2"/>
    </row>
    <row r="17" spans="1:19" ht="18" customHeight="1" thickTop="1">
      <c r="A17" s="26"/>
      <c r="B17" s="213"/>
      <c r="C17" s="213"/>
      <c r="D17" s="213"/>
      <c r="E17" s="213"/>
      <c r="F17" s="213"/>
      <c r="G17" s="213"/>
      <c r="H17" s="213"/>
      <c r="I17" s="26"/>
      <c r="J17" s="26"/>
    </row>
    <row r="18" spans="1:19" ht="18" customHeight="1">
      <c r="A18" s="26"/>
      <c r="B18" s="901" t="s">
        <v>1396</v>
      </c>
      <c r="C18" s="901"/>
      <c r="D18" s="901"/>
      <c r="E18" s="901"/>
      <c r="F18" s="901"/>
      <c r="G18" s="901"/>
      <c r="H18" s="901"/>
      <c r="I18" s="26"/>
      <c r="J18" s="26"/>
    </row>
    <row r="19" spans="1:19" ht="21" customHeight="1">
      <c r="B19" s="93"/>
      <c r="C19" s="93"/>
      <c r="D19" s="884" t="s">
        <v>176</v>
      </c>
      <c r="E19" s="86"/>
      <c r="F19" s="902" t="s">
        <v>156</v>
      </c>
      <c r="G19" s="902"/>
      <c r="H19" s="902"/>
      <c r="I19" s="902"/>
      <c r="J19" s="902"/>
      <c r="K19" s="902"/>
      <c r="L19" s="902"/>
      <c r="M19" s="902"/>
      <c r="N19" s="902"/>
      <c r="O19" s="902"/>
      <c r="P19" s="902"/>
      <c r="Q19" s="31"/>
      <c r="R19" s="842" t="s">
        <v>157</v>
      </c>
      <c r="S19" s="212"/>
    </row>
    <row r="20" spans="1:19" ht="21" customHeight="1">
      <c r="B20" s="93"/>
      <c r="C20" s="93"/>
      <c r="D20" s="884"/>
      <c r="E20" s="86"/>
      <c r="F20" s="919" t="s">
        <v>566</v>
      </c>
      <c r="G20" s="80"/>
      <c r="H20" s="920" t="s">
        <v>567</v>
      </c>
      <c r="I20" s="920"/>
      <c r="J20" s="920"/>
      <c r="K20" s="80"/>
      <c r="L20" s="921" t="s">
        <v>570</v>
      </c>
      <c r="M20" s="80"/>
      <c r="N20" s="923" t="s">
        <v>571</v>
      </c>
      <c r="O20" s="80"/>
      <c r="P20" s="919" t="s">
        <v>24</v>
      </c>
      <c r="Q20" s="31"/>
      <c r="R20" s="842"/>
      <c r="S20" s="212"/>
    </row>
    <row r="21" spans="1:19">
      <c r="B21" s="93"/>
      <c r="C21" s="93"/>
      <c r="D21" s="902"/>
      <c r="E21" s="80"/>
      <c r="F21" s="843"/>
      <c r="H21" s="188" t="s">
        <v>568</v>
      </c>
      <c r="I21" s="2"/>
      <c r="J21" s="130" t="s">
        <v>569</v>
      </c>
      <c r="K21" s="2"/>
      <c r="L21" s="922"/>
      <c r="M21" s="2"/>
      <c r="N21" s="902"/>
      <c r="O21" s="2"/>
      <c r="P21" s="843"/>
      <c r="Q21" s="2"/>
      <c r="R21" s="843"/>
      <c r="S21" s="2"/>
    </row>
    <row r="22" spans="1:19" ht="42">
      <c r="B22" s="93"/>
      <c r="C22" s="93"/>
      <c r="D22" s="58" t="s">
        <v>103</v>
      </c>
      <c r="E22" s="80"/>
      <c r="F22" s="58" t="s">
        <v>103</v>
      </c>
      <c r="H22" s="58" t="s">
        <v>103</v>
      </c>
      <c r="I22" s="31"/>
      <c r="J22" s="58" t="s">
        <v>103</v>
      </c>
      <c r="K22" s="31"/>
      <c r="L22" s="58" t="s">
        <v>103</v>
      </c>
      <c r="M22" s="2"/>
      <c r="N22" s="58" t="s">
        <v>103</v>
      </c>
      <c r="O22" s="2"/>
      <c r="P22" s="58" t="s">
        <v>103</v>
      </c>
      <c r="Q22" s="2"/>
      <c r="R22" s="58" t="s">
        <v>103</v>
      </c>
      <c r="S22" s="2"/>
    </row>
    <row r="23" spans="1:19" ht="24.75">
      <c r="B23" s="93" t="s">
        <v>128</v>
      </c>
      <c r="C23" s="93"/>
      <c r="D23" s="625">
        <v>1042922151220</v>
      </c>
      <c r="E23" s="625"/>
      <c r="F23" s="625">
        <v>1011012741235</v>
      </c>
      <c r="G23" s="299"/>
      <c r="H23" s="625">
        <v>31909409985</v>
      </c>
      <c r="I23" s="632"/>
      <c r="J23" s="625">
        <v>0</v>
      </c>
      <c r="K23" s="632"/>
      <c r="L23" s="299">
        <v>0</v>
      </c>
      <c r="M23" s="299"/>
      <c r="N23" s="299">
        <v>0</v>
      </c>
      <c r="O23" s="299"/>
      <c r="P23" s="625">
        <f>F23+H23</f>
        <v>1042922151220</v>
      </c>
      <c r="Q23" s="299"/>
      <c r="R23" s="299">
        <f>D23-P23</f>
        <v>0</v>
      </c>
      <c r="S23" s="2"/>
    </row>
    <row r="24" spans="1:19" ht="24.75">
      <c r="B24" s="93" t="s">
        <v>108</v>
      </c>
      <c r="C24" s="93"/>
      <c r="D24" s="625">
        <v>3258482908579</v>
      </c>
      <c r="E24" s="625"/>
      <c r="F24" s="625">
        <v>2786371850670</v>
      </c>
      <c r="G24" s="299"/>
      <c r="H24" s="625">
        <v>78906257478</v>
      </c>
      <c r="I24" s="632"/>
      <c r="J24" s="625">
        <v>0</v>
      </c>
      <c r="K24" s="632"/>
      <c r="L24" s="299">
        <v>0</v>
      </c>
      <c r="M24" s="299"/>
      <c r="N24" s="299">
        <v>0</v>
      </c>
      <c r="O24" s="299"/>
      <c r="P24" s="625">
        <f t="shared" ref="P24:P29" si="1">F24+H24</f>
        <v>2865278108148</v>
      </c>
      <c r="Q24" s="299"/>
      <c r="R24" s="299">
        <f t="shared" ref="R24:R29" si="2">D24-P24</f>
        <v>393204800431</v>
      </c>
      <c r="S24" s="2"/>
    </row>
    <row r="25" spans="1:19" ht="24.75">
      <c r="B25" s="93" t="s">
        <v>564</v>
      </c>
      <c r="C25" s="93"/>
      <c r="D25" s="625">
        <v>65661611306</v>
      </c>
      <c r="E25" s="625"/>
      <c r="F25" s="625">
        <v>65661611306</v>
      </c>
      <c r="G25" s="299"/>
      <c r="H25" s="625">
        <v>0</v>
      </c>
      <c r="I25" s="632"/>
      <c r="J25" s="625">
        <v>0</v>
      </c>
      <c r="K25" s="632"/>
      <c r="L25" s="299">
        <v>0</v>
      </c>
      <c r="M25" s="299"/>
      <c r="N25" s="299">
        <v>0</v>
      </c>
      <c r="O25" s="299"/>
      <c r="P25" s="625">
        <f t="shared" si="1"/>
        <v>65661611306</v>
      </c>
      <c r="Q25" s="299"/>
      <c r="R25" s="299">
        <f t="shared" si="2"/>
        <v>0</v>
      </c>
      <c r="S25" s="2"/>
    </row>
    <row r="26" spans="1:19" ht="24.75" hidden="1">
      <c r="B26" s="93" t="s">
        <v>565</v>
      </c>
      <c r="C26" s="93"/>
      <c r="D26" s="625">
        <v>0</v>
      </c>
      <c r="E26" s="625"/>
      <c r="F26" s="625">
        <v>0</v>
      </c>
      <c r="G26" s="299"/>
      <c r="H26" s="625">
        <v>0</v>
      </c>
      <c r="I26" s="632"/>
      <c r="J26" s="625">
        <v>0</v>
      </c>
      <c r="K26" s="632"/>
      <c r="L26" s="299">
        <v>0</v>
      </c>
      <c r="M26" s="299"/>
      <c r="N26" s="299">
        <v>0</v>
      </c>
      <c r="O26" s="299"/>
      <c r="P26" s="625">
        <f t="shared" si="1"/>
        <v>0</v>
      </c>
      <c r="Q26" s="299"/>
      <c r="R26" s="299">
        <f t="shared" si="2"/>
        <v>0</v>
      </c>
      <c r="S26" s="2"/>
    </row>
    <row r="27" spans="1:19" ht="24.75" hidden="1">
      <c r="B27" s="93" t="s">
        <v>109</v>
      </c>
      <c r="C27" s="93"/>
      <c r="D27" s="625">
        <v>0</v>
      </c>
      <c r="E27" s="625"/>
      <c r="F27" s="625">
        <v>0</v>
      </c>
      <c r="G27" s="299"/>
      <c r="H27" s="625">
        <v>0</v>
      </c>
      <c r="I27" s="632"/>
      <c r="J27" s="625">
        <v>0</v>
      </c>
      <c r="K27" s="632"/>
      <c r="L27" s="299">
        <v>0</v>
      </c>
      <c r="M27" s="299"/>
      <c r="N27" s="299">
        <v>0</v>
      </c>
      <c r="O27" s="299"/>
      <c r="P27" s="625">
        <f t="shared" si="1"/>
        <v>0</v>
      </c>
      <c r="Q27" s="299"/>
      <c r="R27" s="299">
        <f t="shared" si="2"/>
        <v>0</v>
      </c>
      <c r="S27" s="2"/>
    </row>
    <row r="28" spans="1:19" ht="24.75">
      <c r="B28" s="93" t="s">
        <v>171</v>
      </c>
      <c r="C28" s="93"/>
      <c r="D28" s="625">
        <v>258482295450</v>
      </c>
      <c r="E28" s="625"/>
      <c r="F28" s="625">
        <v>258481295450</v>
      </c>
      <c r="G28" s="299"/>
      <c r="H28" s="625">
        <v>0</v>
      </c>
      <c r="I28" s="632"/>
      <c r="J28" s="625">
        <v>0</v>
      </c>
      <c r="K28" s="632"/>
      <c r="L28" s="299">
        <v>0</v>
      </c>
      <c r="M28" s="299"/>
      <c r="N28" s="299">
        <v>0</v>
      </c>
      <c r="O28" s="299"/>
      <c r="P28" s="625">
        <f t="shared" si="1"/>
        <v>258481295450</v>
      </c>
      <c r="Q28" s="299"/>
      <c r="R28" s="299">
        <f t="shared" si="2"/>
        <v>1000000</v>
      </c>
      <c r="S28" s="2"/>
    </row>
    <row r="29" spans="1:19" ht="24.75">
      <c r="B29" s="93" t="s">
        <v>516</v>
      </c>
      <c r="C29" s="93"/>
      <c r="D29" s="625">
        <v>340678783445</v>
      </c>
      <c r="E29" s="625"/>
      <c r="F29" s="625">
        <v>340654483775</v>
      </c>
      <c r="G29" s="299"/>
      <c r="H29" s="625">
        <v>0</v>
      </c>
      <c r="I29" s="632"/>
      <c r="J29" s="625">
        <v>0</v>
      </c>
      <c r="K29" s="632"/>
      <c r="L29" s="299">
        <v>0</v>
      </c>
      <c r="M29" s="299"/>
      <c r="N29" s="299">
        <v>0</v>
      </c>
      <c r="O29" s="299"/>
      <c r="P29" s="625">
        <f t="shared" si="1"/>
        <v>340654483775</v>
      </c>
      <c r="Q29" s="299"/>
      <c r="R29" s="299">
        <f t="shared" si="2"/>
        <v>24299670</v>
      </c>
      <c r="S29" s="2"/>
    </row>
    <row r="30" spans="1:19" ht="25.5" thickBot="1">
      <c r="B30" s="93"/>
      <c r="C30" s="93"/>
      <c r="D30" s="631">
        <f>SUM(D23:D29)</f>
        <v>4966227750000</v>
      </c>
      <c r="E30" s="625"/>
      <c r="F30" s="631">
        <f>SUM(F23:F29)</f>
        <v>4462181982436</v>
      </c>
      <c r="G30" s="299"/>
      <c r="H30" s="631">
        <f>SUM(H23:H29)</f>
        <v>110815667463</v>
      </c>
      <c r="I30" s="632"/>
      <c r="J30" s="631">
        <f>SUM(J23:J29)</f>
        <v>0</v>
      </c>
      <c r="K30" s="632"/>
      <c r="L30" s="631">
        <f>SUM(L23:L29)</f>
        <v>0</v>
      </c>
      <c r="M30" s="299"/>
      <c r="N30" s="631">
        <f>SUM(N23:N29)</f>
        <v>0</v>
      </c>
      <c r="O30" s="299"/>
      <c r="P30" s="631">
        <f>SUM(P23:P29)</f>
        <v>4572997649899</v>
      </c>
      <c r="Q30" s="299"/>
      <c r="R30" s="631">
        <f>SUM(R23:R29)</f>
        <v>393230100101</v>
      </c>
      <c r="S30" s="2"/>
    </row>
    <row r="31" spans="1:19" ht="21.75" thickTop="1"/>
    <row r="33" spans="8:18">
      <c r="H33" s="89"/>
    </row>
    <row r="40" spans="8:18">
      <c r="R40" s="89">
        <f>R30+R16+'41-2'!T16</f>
        <v>2225219985837</v>
      </c>
    </row>
  </sheetData>
  <mergeCells count="21">
    <mergeCell ref="D19:D21"/>
    <mergeCell ref="F19:P19"/>
    <mergeCell ref="R19:R21"/>
    <mergeCell ref="F20:F21"/>
    <mergeCell ref="H20:J20"/>
    <mergeCell ref="L20:L21"/>
    <mergeCell ref="N20:N21"/>
    <mergeCell ref="P20:P21"/>
    <mergeCell ref="B4:H4"/>
    <mergeCell ref="R5:R7"/>
    <mergeCell ref="B18:H18"/>
    <mergeCell ref="P6:P7"/>
    <mergeCell ref="A1:S1"/>
    <mergeCell ref="A2:S2"/>
    <mergeCell ref="A3:S3"/>
    <mergeCell ref="D5:D7"/>
    <mergeCell ref="F5:P5"/>
    <mergeCell ref="F6:F7"/>
    <mergeCell ref="H6:J6"/>
    <mergeCell ref="L6:L7"/>
    <mergeCell ref="N6:N7"/>
  </mergeCells>
  <pageMargins left="0.70866141732283505" right="0.70866141732283505" top="0.74803149606299202" bottom="0.74803149606299202" header="0.31496062992126" footer="0.31496062992126"/>
  <pageSetup scale="75" firstPageNumber="48" orientation="landscape" useFirstPageNumber="1" r:id="rId1"/>
  <headerFooter>
    <oddFooter>&amp;C&amp;"B Nazanin,Regular"&amp;14&amp;P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rightToLeft="1" view="pageBreakPreview" topLeftCell="A16" zoomScaleNormal="115" zoomScaleSheetLayoutView="100" zoomScalePageLayoutView="85" workbookViewId="0">
      <selection activeCell="B23" sqref="B23"/>
    </sheetView>
  </sheetViews>
  <sheetFormatPr defaultColWidth="9" defaultRowHeight="17.25" customHeight="1"/>
  <cols>
    <col min="1" max="1" width="1.140625" style="1" customWidth="1"/>
    <col min="2" max="2" width="19.140625" style="59" customWidth="1"/>
    <col min="3" max="3" width="0.28515625" style="1" customWidth="1"/>
    <col min="4" max="4" width="15.42578125" style="1" customWidth="1"/>
    <col min="5" max="5" width="0.42578125" style="1" customWidth="1"/>
    <col min="6" max="6" width="15.5703125" style="2" customWidth="1"/>
    <col min="7" max="7" width="0.42578125" style="2" customWidth="1"/>
    <col min="8" max="8" width="16.42578125" style="1" customWidth="1"/>
    <col min="9" max="9" width="0.42578125" style="1" customWidth="1"/>
    <col min="10" max="10" width="6.28515625" style="1" hidden="1" customWidth="1"/>
    <col min="11" max="11" width="0.28515625" style="1" customWidth="1"/>
    <col min="12" max="12" width="16.85546875" style="1" customWidth="1"/>
    <col min="13" max="13" width="0.42578125" style="1" customWidth="1"/>
    <col min="14" max="14" width="16.140625" style="1" customWidth="1"/>
    <col min="15" max="15" width="0.42578125" style="1" customWidth="1"/>
    <col min="16" max="16" width="16" style="1" customWidth="1"/>
    <col min="17" max="17" width="0.42578125" style="1" customWidth="1"/>
    <col min="18" max="18" width="20" style="1" customWidth="1"/>
    <col min="19" max="19" width="0.42578125" style="1" customWidth="1"/>
    <col min="20" max="20" width="15.42578125" style="1" customWidth="1"/>
    <col min="21" max="21" width="0.5703125" style="1" customWidth="1"/>
    <col min="22" max="16384" width="9" style="1"/>
  </cols>
  <sheetData>
    <row r="1" spans="1:22" ht="17.25" customHeight="1">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765"/>
      <c r="S1" s="765"/>
      <c r="T1" s="765"/>
    </row>
    <row r="2" spans="1:22" s="26" customFormat="1" ht="17.25" customHeight="1">
      <c r="A2" s="767" t="s">
        <v>33</v>
      </c>
      <c r="B2" s="767"/>
      <c r="C2" s="767"/>
      <c r="D2" s="767"/>
      <c r="E2" s="767"/>
      <c r="F2" s="767"/>
      <c r="G2" s="767"/>
      <c r="H2" s="767"/>
      <c r="I2" s="767"/>
      <c r="J2" s="767"/>
      <c r="K2" s="767"/>
      <c r="L2" s="767"/>
      <c r="M2" s="767"/>
      <c r="N2" s="767"/>
      <c r="O2" s="767"/>
      <c r="P2" s="767"/>
      <c r="Q2" s="767"/>
      <c r="R2" s="767"/>
      <c r="S2" s="767"/>
      <c r="T2" s="767"/>
    </row>
    <row r="3" spans="1:22" ht="17.25" customHeight="1">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c r="T3" s="767"/>
    </row>
    <row r="4" spans="1:22" ht="17.25" customHeight="1">
      <c r="A4" s="26"/>
      <c r="B4" s="901" t="s">
        <v>1397</v>
      </c>
      <c r="C4" s="901"/>
      <c r="D4" s="901"/>
      <c r="E4" s="901"/>
      <c r="F4" s="901"/>
      <c r="G4" s="901"/>
      <c r="H4" s="901"/>
      <c r="I4" s="26"/>
      <c r="J4" s="26"/>
    </row>
    <row r="5" spans="1:22" ht="17.25" customHeight="1">
      <c r="A5" s="26"/>
      <c r="B5" s="901" t="s">
        <v>1398</v>
      </c>
      <c r="C5" s="901"/>
      <c r="D5" s="901"/>
      <c r="E5" s="901"/>
      <c r="F5" s="901"/>
      <c r="G5" s="901"/>
      <c r="H5" s="901"/>
      <c r="I5" s="26"/>
      <c r="J5" s="26"/>
    </row>
    <row r="6" spans="1:22" ht="45.75" customHeight="1">
      <c r="A6" s="26"/>
      <c r="B6" s="858" t="s">
        <v>1129</v>
      </c>
      <c r="C6" s="858"/>
      <c r="D6" s="858"/>
      <c r="E6" s="858"/>
      <c r="F6" s="858"/>
      <c r="G6" s="858"/>
      <c r="H6" s="858"/>
      <c r="I6" s="858"/>
      <c r="J6" s="858"/>
      <c r="K6" s="858"/>
      <c r="L6" s="858"/>
      <c r="M6" s="858"/>
      <c r="N6" s="858"/>
      <c r="O6" s="858"/>
      <c r="P6" s="858"/>
      <c r="Q6" s="858"/>
      <c r="R6" s="858"/>
      <c r="S6" s="858"/>
      <c r="T6" s="858"/>
      <c r="U6" s="589"/>
      <c r="V6" s="589"/>
    </row>
    <row r="7" spans="1:22" ht="8.25" customHeight="1">
      <c r="A7" s="26"/>
      <c r="B7" s="213"/>
      <c r="C7" s="213"/>
      <c r="D7" s="213"/>
      <c r="E7" s="213"/>
      <c r="F7" s="213"/>
      <c r="G7" s="213"/>
      <c r="H7" s="213"/>
      <c r="I7" s="26"/>
      <c r="J7" s="26"/>
    </row>
    <row r="8" spans="1:22" ht="17.25" customHeight="1">
      <c r="A8" s="26"/>
      <c r="B8" s="879" t="s">
        <v>1399</v>
      </c>
      <c r="C8" s="879"/>
      <c r="D8" s="879"/>
      <c r="E8" s="879"/>
      <c r="F8" s="879"/>
      <c r="G8" s="879"/>
      <c r="H8" s="879"/>
      <c r="I8" s="879"/>
      <c r="J8" s="879"/>
    </row>
    <row r="9" spans="1:22" ht="17.25" customHeight="1">
      <c r="B9" s="93"/>
      <c r="C9" s="93"/>
      <c r="D9" s="902" t="s">
        <v>158</v>
      </c>
      <c r="E9" s="902"/>
      <c r="F9" s="902"/>
      <c r="G9" s="902"/>
      <c r="H9" s="902"/>
      <c r="I9" s="902"/>
      <c r="J9" s="902"/>
      <c r="K9" s="902"/>
      <c r="L9" s="902"/>
      <c r="M9" s="902"/>
      <c r="N9" s="902"/>
      <c r="O9" s="902"/>
      <c r="P9" s="902"/>
      <c r="Q9" s="31"/>
      <c r="R9" s="842" t="s">
        <v>562</v>
      </c>
      <c r="S9" s="212"/>
      <c r="T9" s="842" t="s">
        <v>563</v>
      </c>
    </row>
    <row r="10" spans="1:22" ht="17.25" customHeight="1">
      <c r="B10" s="93"/>
      <c r="C10" s="93"/>
      <c r="D10" s="130" t="s">
        <v>154</v>
      </c>
      <c r="E10" s="80"/>
      <c r="F10" s="205" t="s">
        <v>554</v>
      </c>
      <c r="H10" s="188" t="s">
        <v>555</v>
      </c>
      <c r="I10" s="2"/>
      <c r="J10" s="130" t="s">
        <v>556</v>
      </c>
      <c r="K10" s="2"/>
      <c r="L10" s="210" t="s">
        <v>557</v>
      </c>
      <c r="M10" s="2"/>
      <c r="N10" s="130" t="s">
        <v>155</v>
      </c>
      <c r="O10" s="2"/>
      <c r="P10" s="205" t="s">
        <v>558</v>
      </c>
      <c r="Q10" s="2"/>
      <c r="R10" s="843"/>
      <c r="S10" s="2"/>
      <c r="T10" s="843"/>
    </row>
    <row r="11" spans="1:22" ht="17.25" customHeight="1">
      <c r="B11" s="93"/>
      <c r="C11" s="93"/>
      <c r="D11" s="58" t="s">
        <v>103</v>
      </c>
      <c r="E11" s="80"/>
      <c r="F11" s="58" t="s">
        <v>103</v>
      </c>
      <c r="H11" s="58" t="s">
        <v>103</v>
      </c>
      <c r="I11" s="31"/>
      <c r="J11" s="58" t="s">
        <v>103</v>
      </c>
      <c r="K11" s="31"/>
      <c r="L11" s="58" t="s">
        <v>103</v>
      </c>
      <c r="M11" s="2"/>
      <c r="N11" s="58" t="s">
        <v>103</v>
      </c>
      <c r="O11" s="2"/>
      <c r="P11" s="58" t="s">
        <v>103</v>
      </c>
      <c r="Q11" s="2"/>
      <c r="R11" s="58" t="s">
        <v>103</v>
      </c>
      <c r="S11" s="2"/>
      <c r="T11" s="58" t="s">
        <v>103</v>
      </c>
    </row>
    <row r="12" spans="1:22" ht="17.25" customHeight="1">
      <c r="B12" s="93" t="s">
        <v>6</v>
      </c>
      <c r="C12" s="93"/>
      <c r="D12" s="625">
        <v>897536000000</v>
      </c>
      <c r="E12" s="625"/>
      <c r="F12" s="625">
        <v>377859000000</v>
      </c>
      <c r="G12" s="299"/>
      <c r="H12" s="625">
        <f>D12+F12</f>
        <v>1275395000000</v>
      </c>
      <c r="I12" s="632"/>
      <c r="J12" s="632" t="s">
        <v>455</v>
      </c>
      <c r="K12" s="632"/>
      <c r="L12" s="625">
        <v>323550000000</v>
      </c>
      <c r="M12" s="299"/>
      <c r="N12" s="625">
        <f>L12+H12</f>
        <v>1598945000000</v>
      </c>
      <c r="O12" s="299"/>
      <c r="P12" s="625">
        <v>1298025000000</v>
      </c>
      <c r="Q12" s="299"/>
      <c r="R12" s="625">
        <f>D12-N12</f>
        <v>-701409000000</v>
      </c>
      <c r="S12" s="625"/>
      <c r="T12" s="625">
        <f>N12-P12</f>
        <v>300920000000</v>
      </c>
    </row>
    <row r="13" spans="1:22" ht="17.25" customHeight="1">
      <c r="B13" s="93" t="s">
        <v>35</v>
      </c>
      <c r="C13" s="93"/>
      <c r="D13" s="625">
        <v>62621000000</v>
      </c>
      <c r="E13" s="625"/>
      <c r="F13" s="625">
        <v>27872000000</v>
      </c>
      <c r="G13" s="299"/>
      <c r="H13" s="625">
        <f>D13+F13</f>
        <v>90493000000</v>
      </c>
      <c r="I13" s="632"/>
      <c r="J13" s="632" t="s">
        <v>455</v>
      </c>
      <c r="K13" s="632"/>
      <c r="L13" s="625">
        <v>131250000000</v>
      </c>
      <c r="M13" s="299"/>
      <c r="N13" s="625">
        <f>L13+H13</f>
        <v>221743000000</v>
      </c>
      <c r="O13" s="299"/>
      <c r="P13" s="625">
        <v>209759000000</v>
      </c>
      <c r="Q13" s="299"/>
      <c r="R13" s="625">
        <f>D13-N13</f>
        <v>-159122000000</v>
      </c>
      <c r="S13" s="625"/>
      <c r="T13" s="625">
        <f t="shared" ref="T13:T18" si="0">N13-P13</f>
        <v>11984000000</v>
      </c>
    </row>
    <row r="14" spans="1:22" ht="17.25" customHeight="1">
      <c r="B14" s="93" t="s">
        <v>572</v>
      </c>
      <c r="C14" s="93"/>
      <c r="D14" s="625">
        <v>0</v>
      </c>
      <c r="E14" s="625"/>
      <c r="F14" s="625">
        <v>0</v>
      </c>
      <c r="G14" s="299"/>
      <c r="H14" s="632">
        <v>0</v>
      </c>
      <c r="I14" s="632"/>
      <c r="J14" s="632" t="s">
        <v>455</v>
      </c>
      <c r="K14" s="632"/>
      <c r="L14" s="299">
        <v>0</v>
      </c>
      <c r="M14" s="299"/>
      <c r="N14" s="299">
        <v>0</v>
      </c>
      <c r="O14" s="299"/>
      <c r="P14" s="299">
        <v>0</v>
      </c>
      <c r="Q14" s="299"/>
      <c r="R14" s="625">
        <f>D14-N14</f>
        <v>0</v>
      </c>
      <c r="S14" s="625"/>
      <c r="T14" s="625">
        <f t="shared" si="0"/>
        <v>0</v>
      </c>
    </row>
    <row r="15" spans="1:22" ht="17.25" customHeight="1">
      <c r="B15" s="93" t="s">
        <v>110</v>
      </c>
      <c r="C15" s="93"/>
      <c r="D15" s="625">
        <v>0</v>
      </c>
      <c r="E15" s="625"/>
      <c r="F15" s="625">
        <v>0</v>
      </c>
      <c r="G15" s="299"/>
      <c r="H15" s="632">
        <v>0</v>
      </c>
      <c r="I15" s="632"/>
      <c r="J15" s="632" t="s">
        <v>455</v>
      </c>
      <c r="K15" s="632"/>
      <c r="L15" s="299">
        <v>0</v>
      </c>
      <c r="M15" s="299"/>
      <c r="N15" s="299">
        <v>0</v>
      </c>
      <c r="O15" s="299"/>
      <c r="P15" s="299">
        <v>0</v>
      </c>
      <c r="Q15" s="299"/>
      <c r="R15" s="625">
        <f>D15-N15</f>
        <v>0</v>
      </c>
      <c r="S15" s="625"/>
      <c r="T15" s="625">
        <f t="shared" si="0"/>
        <v>0</v>
      </c>
    </row>
    <row r="16" spans="1:22" ht="17.25" customHeight="1">
      <c r="B16" s="93" t="s">
        <v>7</v>
      </c>
      <c r="C16" s="93"/>
      <c r="D16" s="625">
        <v>0</v>
      </c>
      <c r="E16" s="625"/>
      <c r="F16" s="625">
        <v>0</v>
      </c>
      <c r="G16" s="299"/>
      <c r="H16" s="632">
        <v>0</v>
      </c>
      <c r="I16" s="632"/>
      <c r="J16" s="632" t="s">
        <v>455</v>
      </c>
      <c r="K16" s="632"/>
      <c r="L16" s="299">
        <v>0</v>
      </c>
      <c r="M16" s="299"/>
      <c r="N16" s="299">
        <v>0</v>
      </c>
      <c r="O16" s="299"/>
      <c r="P16" s="299">
        <v>0</v>
      </c>
      <c r="Q16" s="299"/>
      <c r="R16" s="625">
        <f>N16-D16</f>
        <v>0</v>
      </c>
      <c r="S16" s="625"/>
      <c r="T16" s="625">
        <f t="shared" si="0"/>
        <v>0</v>
      </c>
    </row>
    <row r="17" spans="1:20" ht="17.25" customHeight="1">
      <c r="B17" s="93" t="s">
        <v>36</v>
      </c>
      <c r="C17" s="93"/>
      <c r="D17" s="625">
        <v>1000000000</v>
      </c>
      <c r="E17" s="625"/>
      <c r="F17" s="625">
        <v>0</v>
      </c>
      <c r="G17" s="299"/>
      <c r="H17" s="625">
        <f>D17</f>
        <v>1000000000</v>
      </c>
      <c r="I17" s="632"/>
      <c r="J17" s="632" t="s">
        <v>455</v>
      </c>
      <c r="K17" s="632"/>
      <c r="L17" s="299">
        <v>0</v>
      </c>
      <c r="M17" s="299"/>
      <c r="N17" s="625">
        <f>H17</f>
        <v>1000000000</v>
      </c>
      <c r="O17" s="299"/>
      <c r="P17" s="299">
        <v>0</v>
      </c>
      <c r="Q17" s="299"/>
      <c r="R17" s="625">
        <f>N17-D17</f>
        <v>0</v>
      </c>
      <c r="S17" s="625"/>
      <c r="T17" s="625">
        <f t="shared" si="0"/>
        <v>1000000000</v>
      </c>
    </row>
    <row r="18" spans="1:20" ht="17.25" customHeight="1">
      <c r="B18" s="93" t="s">
        <v>111</v>
      </c>
      <c r="C18" s="93"/>
      <c r="D18" s="625">
        <v>0</v>
      </c>
      <c r="E18" s="625"/>
      <c r="F18" s="625">
        <v>0</v>
      </c>
      <c r="G18" s="299"/>
      <c r="H18" s="632">
        <v>0</v>
      </c>
      <c r="I18" s="632"/>
      <c r="J18" s="632" t="s">
        <v>455</v>
      </c>
      <c r="K18" s="632"/>
      <c r="L18" s="299">
        <v>0</v>
      </c>
      <c r="M18" s="299"/>
      <c r="N18" s="299">
        <v>0</v>
      </c>
      <c r="O18" s="299"/>
      <c r="P18" s="299">
        <v>0</v>
      </c>
      <c r="Q18" s="299"/>
      <c r="R18" s="299">
        <f>N18-D18</f>
        <v>0</v>
      </c>
      <c r="S18" s="299"/>
      <c r="T18" s="625">
        <f t="shared" si="0"/>
        <v>0</v>
      </c>
    </row>
    <row r="19" spans="1:20" ht="17.25" customHeight="1" thickBot="1">
      <c r="B19" s="93"/>
      <c r="C19" s="93"/>
      <c r="D19" s="631">
        <f>SUM(D12:D18)</f>
        <v>961157000000</v>
      </c>
      <c r="E19" s="625"/>
      <c r="F19" s="631">
        <f>SUM(F12:F18)</f>
        <v>405731000000</v>
      </c>
      <c r="G19" s="299"/>
      <c r="H19" s="631">
        <f>SUM(H12:H18)</f>
        <v>1366888000000</v>
      </c>
      <c r="I19" s="632"/>
      <c r="J19" s="631">
        <f>SUM(J12:J18)</f>
        <v>0</v>
      </c>
      <c r="K19" s="632"/>
      <c r="L19" s="631">
        <f>SUM(L12:L18)</f>
        <v>454800000000</v>
      </c>
      <c r="M19" s="299"/>
      <c r="N19" s="631">
        <f>SUM(N12:N18)</f>
        <v>1821688000000</v>
      </c>
      <c r="O19" s="299"/>
      <c r="P19" s="631">
        <f>SUM(P12:P18)</f>
        <v>1507784000000</v>
      </c>
      <c r="Q19" s="299"/>
      <c r="R19" s="631">
        <f>D19-N19</f>
        <v>-860531000000</v>
      </c>
      <c r="S19" s="299"/>
      <c r="T19" s="631">
        <f>N19-P19</f>
        <v>313904000000</v>
      </c>
    </row>
    <row r="20" spans="1:20" ht="17.25" customHeight="1" thickTop="1">
      <c r="A20" s="26"/>
      <c r="B20" s="916" t="s">
        <v>1400</v>
      </c>
      <c r="C20" s="916"/>
      <c r="D20" s="916"/>
      <c r="E20" s="916"/>
      <c r="F20" s="916"/>
      <c r="G20" s="916"/>
      <c r="H20" s="916"/>
      <c r="I20" s="916"/>
      <c r="J20" s="916"/>
      <c r="K20" s="916"/>
      <c r="L20" s="916"/>
      <c r="M20" s="916"/>
      <c r="N20" s="916"/>
      <c r="O20" s="916"/>
      <c r="P20" s="916"/>
      <c r="Q20" s="916"/>
      <c r="R20" s="916"/>
      <c r="S20" s="916"/>
      <c r="T20" s="916"/>
    </row>
    <row r="21" spans="1:20" ht="17.25" customHeight="1">
      <c r="A21" s="26"/>
      <c r="B21" s="213"/>
      <c r="C21" s="213"/>
      <c r="D21" s="213"/>
      <c r="E21" s="213"/>
      <c r="F21" s="213"/>
      <c r="G21" s="213"/>
      <c r="H21" s="213"/>
      <c r="I21" s="26"/>
      <c r="J21" s="26"/>
    </row>
    <row r="22" spans="1:20" ht="17.25" customHeight="1">
      <c r="A22" s="26"/>
      <c r="B22" s="901" t="s">
        <v>1401</v>
      </c>
      <c r="C22" s="901"/>
      <c r="D22" s="901"/>
      <c r="E22" s="901"/>
      <c r="F22" s="901"/>
      <c r="G22" s="901"/>
      <c r="H22" s="901"/>
      <c r="I22" s="901"/>
      <c r="J22" s="901"/>
    </row>
    <row r="23" spans="1:20" ht="17.25" customHeight="1">
      <c r="B23" s="93"/>
      <c r="C23" s="93"/>
      <c r="D23" s="902" t="s">
        <v>158</v>
      </c>
      <c r="E23" s="902"/>
      <c r="F23" s="902"/>
      <c r="G23" s="902"/>
      <c r="H23" s="902"/>
      <c r="I23" s="902"/>
      <c r="J23" s="902"/>
      <c r="K23" s="902"/>
      <c r="L23" s="902"/>
      <c r="M23" s="902"/>
      <c r="N23" s="902"/>
      <c r="O23" s="31"/>
      <c r="P23" s="917" t="s">
        <v>562</v>
      </c>
      <c r="Q23" s="212"/>
      <c r="R23" s="842" t="s">
        <v>563</v>
      </c>
    </row>
    <row r="24" spans="1:20" ht="17.25" customHeight="1">
      <c r="B24" s="93"/>
      <c r="C24" s="93"/>
      <c r="D24" s="130" t="s">
        <v>154</v>
      </c>
      <c r="E24" s="80"/>
      <c r="F24" s="205" t="s">
        <v>554</v>
      </c>
      <c r="H24" s="188" t="s">
        <v>555</v>
      </c>
      <c r="I24" s="2"/>
      <c r="J24" s="130" t="s">
        <v>556</v>
      </c>
      <c r="K24" s="2"/>
      <c r="L24" s="210" t="s">
        <v>557</v>
      </c>
      <c r="M24" s="2"/>
      <c r="N24" s="130" t="s">
        <v>155</v>
      </c>
      <c r="O24" s="2"/>
      <c r="P24" s="918"/>
      <c r="Q24" s="2"/>
      <c r="R24" s="843"/>
    </row>
    <row r="25" spans="1:20" ht="17.25" customHeight="1">
      <c r="B25" s="93"/>
      <c r="C25" s="93"/>
      <c r="D25" s="58" t="s">
        <v>103</v>
      </c>
      <c r="E25" s="80"/>
      <c r="F25" s="58" t="s">
        <v>103</v>
      </c>
      <c r="H25" s="58" t="s">
        <v>103</v>
      </c>
      <c r="I25" s="31"/>
      <c r="J25" s="58" t="s">
        <v>103</v>
      </c>
      <c r="K25" s="31"/>
      <c r="L25" s="58" t="s">
        <v>103</v>
      </c>
      <c r="M25" s="2"/>
      <c r="N25" s="58" t="s">
        <v>103</v>
      </c>
      <c r="O25" s="2"/>
      <c r="P25" s="58" t="s">
        <v>103</v>
      </c>
      <c r="Q25" s="2"/>
      <c r="R25" s="58" t="s">
        <v>103</v>
      </c>
    </row>
    <row r="26" spans="1:20" ht="17.25" customHeight="1">
      <c r="B26" s="93" t="s">
        <v>6</v>
      </c>
      <c r="C26" s="93"/>
      <c r="D26" s="625">
        <v>0</v>
      </c>
      <c r="E26" s="625"/>
      <c r="F26" s="625">
        <v>0</v>
      </c>
      <c r="G26" s="299"/>
      <c r="H26" s="632">
        <v>0</v>
      </c>
      <c r="I26" s="632"/>
      <c r="J26" s="632" t="s">
        <v>455</v>
      </c>
      <c r="K26" s="632"/>
      <c r="L26" s="299">
        <v>0</v>
      </c>
      <c r="M26" s="299"/>
      <c r="N26" s="299">
        <v>0</v>
      </c>
      <c r="O26" s="299"/>
      <c r="P26" s="299">
        <v>0</v>
      </c>
      <c r="Q26" s="299"/>
      <c r="R26" s="299">
        <v>0</v>
      </c>
    </row>
    <row r="27" spans="1:20" ht="17.25" customHeight="1">
      <c r="B27" s="93" t="s">
        <v>35</v>
      </c>
      <c r="C27" s="93"/>
      <c r="D27" s="625"/>
      <c r="E27" s="625"/>
      <c r="F27" s="625"/>
      <c r="G27" s="299"/>
      <c r="H27" s="625"/>
      <c r="I27" s="632"/>
      <c r="J27" s="632" t="s">
        <v>455</v>
      </c>
      <c r="K27" s="632"/>
      <c r="L27" s="625">
        <v>45000000000</v>
      </c>
      <c r="M27" s="299"/>
      <c r="N27" s="299">
        <f>L27</f>
        <v>45000000000</v>
      </c>
      <c r="O27" s="299"/>
      <c r="P27" s="299">
        <f>D27-L27</f>
        <v>-45000000000</v>
      </c>
      <c r="Q27" s="299"/>
      <c r="R27" s="299">
        <v>0</v>
      </c>
    </row>
    <row r="28" spans="1:20" ht="17.25" customHeight="1">
      <c r="B28" s="93" t="s">
        <v>572</v>
      </c>
      <c r="C28" s="93"/>
      <c r="D28" s="625">
        <v>0</v>
      </c>
      <c r="E28" s="625"/>
      <c r="F28" s="625">
        <v>0</v>
      </c>
      <c r="G28" s="299"/>
      <c r="H28" s="632">
        <v>0</v>
      </c>
      <c r="I28" s="632"/>
      <c r="J28" s="632" t="s">
        <v>455</v>
      </c>
      <c r="K28" s="632"/>
      <c r="L28" s="299">
        <v>0</v>
      </c>
      <c r="M28" s="299"/>
      <c r="N28" s="299">
        <v>0</v>
      </c>
      <c r="O28" s="299"/>
      <c r="P28" s="299">
        <v>0</v>
      </c>
      <c r="Q28" s="299"/>
      <c r="R28" s="299">
        <v>0</v>
      </c>
    </row>
    <row r="29" spans="1:20" ht="17.25" customHeight="1">
      <c r="B29" s="93" t="s">
        <v>110</v>
      </c>
      <c r="C29" s="93"/>
      <c r="D29" s="625">
        <v>0</v>
      </c>
      <c r="E29" s="625"/>
      <c r="F29" s="625">
        <v>0</v>
      </c>
      <c r="G29" s="299"/>
      <c r="H29" s="632">
        <v>0</v>
      </c>
      <c r="I29" s="632"/>
      <c r="J29" s="632" t="s">
        <v>455</v>
      </c>
      <c r="K29" s="632"/>
      <c r="L29" s="299">
        <v>0</v>
      </c>
      <c r="M29" s="299"/>
      <c r="N29" s="299">
        <v>0</v>
      </c>
      <c r="O29" s="299"/>
      <c r="P29" s="299">
        <v>0</v>
      </c>
      <c r="Q29" s="299"/>
      <c r="R29" s="299">
        <v>0</v>
      </c>
    </row>
    <row r="30" spans="1:20" ht="17.25" customHeight="1">
      <c r="B30" s="93" t="s">
        <v>7</v>
      </c>
      <c r="C30" s="93"/>
      <c r="D30" s="625">
        <v>0</v>
      </c>
      <c r="E30" s="625"/>
      <c r="F30" s="625">
        <v>0</v>
      </c>
      <c r="G30" s="299"/>
      <c r="H30" s="632">
        <v>0</v>
      </c>
      <c r="I30" s="632"/>
      <c r="J30" s="632" t="s">
        <v>455</v>
      </c>
      <c r="K30" s="632"/>
      <c r="L30" s="299">
        <v>0</v>
      </c>
      <c r="M30" s="299"/>
      <c r="N30" s="299">
        <v>0</v>
      </c>
      <c r="O30" s="299"/>
      <c r="P30" s="299">
        <v>0</v>
      </c>
      <c r="Q30" s="299"/>
      <c r="R30" s="299">
        <v>0</v>
      </c>
    </row>
    <row r="31" spans="1:20" ht="17.25" customHeight="1">
      <c r="B31" s="93" t="s">
        <v>36</v>
      </c>
      <c r="C31" s="93"/>
      <c r="D31" s="625">
        <v>0</v>
      </c>
      <c r="E31" s="625"/>
      <c r="F31" s="625">
        <v>0</v>
      </c>
      <c r="G31" s="299"/>
      <c r="H31" s="632">
        <v>0</v>
      </c>
      <c r="I31" s="632"/>
      <c r="J31" s="632" t="s">
        <v>455</v>
      </c>
      <c r="K31" s="632"/>
      <c r="L31" s="299">
        <v>0</v>
      </c>
      <c r="M31" s="299"/>
      <c r="N31" s="299">
        <v>0</v>
      </c>
      <c r="O31" s="299"/>
      <c r="P31" s="299">
        <v>0</v>
      </c>
      <c r="Q31" s="299"/>
      <c r="R31" s="299">
        <v>0</v>
      </c>
    </row>
    <row r="32" spans="1:20" ht="17.25" customHeight="1">
      <c r="B32" s="93" t="s">
        <v>111</v>
      </c>
      <c r="C32" s="93"/>
      <c r="D32" s="625">
        <v>0</v>
      </c>
      <c r="E32" s="625"/>
      <c r="F32" s="625">
        <v>0</v>
      </c>
      <c r="G32" s="299"/>
      <c r="H32" s="632">
        <v>0</v>
      </c>
      <c r="I32" s="632"/>
      <c r="J32" s="632" t="s">
        <v>455</v>
      </c>
      <c r="K32" s="632"/>
      <c r="L32" s="299">
        <v>0</v>
      </c>
      <c r="M32" s="299"/>
      <c r="N32" s="299">
        <v>0</v>
      </c>
      <c r="O32" s="299"/>
      <c r="P32" s="299">
        <v>0</v>
      </c>
      <c r="Q32" s="299"/>
      <c r="R32" s="299">
        <v>0</v>
      </c>
    </row>
    <row r="33" spans="2:18" ht="17.25" customHeight="1" thickBot="1">
      <c r="B33" s="93"/>
      <c r="C33" s="93"/>
      <c r="D33" s="631">
        <f>SUM(D26:D32)</f>
        <v>0</v>
      </c>
      <c r="E33" s="625"/>
      <c r="F33" s="631">
        <f>SUM(F26:F32)</f>
        <v>0</v>
      </c>
      <c r="G33" s="299"/>
      <c r="H33" s="631">
        <f>SUM(H26:H32)</f>
        <v>0</v>
      </c>
      <c r="I33" s="632"/>
      <c r="J33" s="631">
        <f>SUM(J26:J32)</f>
        <v>0</v>
      </c>
      <c r="K33" s="632"/>
      <c r="L33" s="631">
        <f>SUM(L26:L32)</f>
        <v>45000000000</v>
      </c>
      <c r="M33" s="299"/>
      <c r="N33" s="631">
        <f>SUM(N26:N32)</f>
        <v>45000000000</v>
      </c>
      <c r="O33" s="299"/>
      <c r="P33" s="631">
        <f>SUM(P26:P32)</f>
        <v>-45000000000</v>
      </c>
      <c r="Q33" s="299"/>
      <c r="R33" s="631">
        <f>SUM(R26:R32)</f>
        <v>0</v>
      </c>
    </row>
    <row r="34" spans="2:18" ht="17.25" customHeight="1" thickTop="1"/>
  </sheetData>
  <mergeCells count="15">
    <mergeCell ref="B6:T6"/>
    <mergeCell ref="A1:T1"/>
    <mergeCell ref="A2:T2"/>
    <mergeCell ref="A3:T3"/>
    <mergeCell ref="B4:H4"/>
    <mergeCell ref="B5:H5"/>
    <mergeCell ref="D23:N23"/>
    <mergeCell ref="P23:P24"/>
    <mergeCell ref="R23:R24"/>
    <mergeCell ref="B8:J8"/>
    <mergeCell ref="B20:T20"/>
    <mergeCell ref="B22:J22"/>
    <mergeCell ref="D9:P9"/>
    <mergeCell ref="R9:R10"/>
    <mergeCell ref="T9:T10"/>
  </mergeCells>
  <pageMargins left="0.70866141732283505" right="0.70866141732283505" top="0.74803149606299202" bottom="0.74803149606299202" header="0.31496062992126" footer="0.31496062992126"/>
  <pageSetup scale="75" firstPageNumber="49" orientation="landscape" useFirstPageNumber="1" r:id="rId1"/>
  <headerFooter>
    <oddFooter>&amp;C&amp;"B Nazanin,Regular"&amp;14&amp;P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rightToLeft="1" view="pageBreakPreview" zoomScaleNormal="130" zoomScaleSheetLayoutView="100" workbookViewId="0">
      <selection activeCell="B19" sqref="B19"/>
    </sheetView>
  </sheetViews>
  <sheetFormatPr defaultColWidth="9" defaultRowHeight="21"/>
  <cols>
    <col min="1" max="1" width="1.140625" style="1" customWidth="1"/>
    <col min="2" max="2" width="19.5703125" style="59" customWidth="1"/>
    <col min="3" max="3" width="0.28515625" style="1" customWidth="1"/>
    <col min="4" max="4" width="14.5703125" style="1" customWidth="1"/>
    <col min="5" max="5" width="0.42578125" style="1" customWidth="1"/>
    <col min="6" max="6" width="13.42578125" style="2" customWidth="1"/>
    <col min="7" max="7" width="0.42578125" style="2" customWidth="1"/>
    <col min="8" max="8" width="13.140625" style="1" customWidth="1"/>
    <col min="9" max="9" width="0.42578125" style="1" customWidth="1"/>
    <col min="10" max="10" width="8.28515625" style="1" customWidth="1"/>
    <col min="11" max="11" width="0.5703125" style="1" customWidth="1"/>
    <col min="12" max="12" width="8.28515625" style="1" customWidth="1"/>
    <col min="13" max="13" width="0.28515625" style="1" customWidth="1"/>
    <col min="14" max="14" width="7.85546875" style="1" customWidth="1"/>
    <col min="15" max="15" width="0.42578125" style="1" customWidth="1"/>
    <col min="16" max="16" width="7.85546875" style="1" customWidth="1"/>
    <col min="17" max="17" width="0.42578125" style="1" customWidth="1"/>
    <col min="18" max="18" width="14" style="1" customWidth="1"/>
    <col min="19" max="19" width="0.42578125" style="1" customWidth="1"/>
    <col min="20" max="20" width="14.5703125" style="1" customWidth="1"/>
    <col min="21" max="21" width="0.42578125" style="1" customWidth="1"/>
    <col min="22" max="23" width="9" style="1"/>
    <col min="24" max="24" width="15.5703125" style="1" bestFit="1" customWidth="1"/>
    <col min="25" max="16384" width="9" style="1"/>
  </cols>
  <sheetData>
    <row r="1" spans="1:21" ht="21.75" customHeight="1">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765"/>
      <c r="S1" s="765"/>
      <c r="T1" s="765"/>
      <c r="U1" s="765"/>
    </row>
    <row r="2" spans="1:21" s="26" customFormat="1">
      <c r="A2" s="767" t="s">
        <v>33</v>
      </c>
      <c r="B2" s="767"/>
      <c r="C2" s="767"/>
      <c r="D2" s="767"/>
      <c r="E2" s="767"/>
      <c r="F2" s="767"/>
      <c r="G2" s="767"/>
      <c r="H2" s="767"/>
      <c r="I2" s="767"/>
      <c r="J2" s="767"/>
      <c r="K2" s="767"/>
      <c r="L2" s="767"/>
      <c r="M2" s="767"/>
      <c r="N2" s="767"/>
      <c r="O2" s="767"/>
      <c r="P2" s="767"/>
      <c r="Q2" s="767"/>
      <c r="R2" s="767"/>
      <c r="S2" s="767"/>
      <c r="T2" s="767"/>
      <c r="U2" s="767"/>
    </row>
    <row r="3" spans="1:21">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c r="T3" s="767"/>
      <c r="U3" s="767"/>
    </row>
    <row r="4" spans="1:21" ht="18" customHeight="1">
      <c r="A4" s="26"/>
      <c r="B4" s="901" t="s">
        <v>1402</v>
      </c>
      <c r="C4" s="901"/>
      <c r="D4" s="901"/>
      <c r="E4" s="901"/>
      <c r="F4" s="901"/>
      <c r="G4" s="901"/>
      <c r="H4" s="901"/>
      <c r="I4" s="901"/>
      <c r="J4" s="901"/>
      <c r="K4" s="901"/>
      <c r="L4" s="901"/>
      <c r="M4" s="901"/>
      <c r="N4" s="901"/>
      <c r="O4" s="901"/>
      <c r="P4" s="901"/>
      <c r="Q4" s="901"/>
      <c r="R4" s="901"/>
      <c r="S4" s="901"/>
      <c r="T4" s="901"/>
    </row>
    <row r="5" spans="1:21" ht="21" customHeight="1">
      <c r="B5" s="93"/>
      <c r="C5" s="93"/>
      <c r="D5" s="884" t="s">
        <v>176</v>
      </c>
      <c r="E5" s="86"/>
      <c r="F5" s="902" t="s">
        <v>156</v>
      </c>
      <c r="G5" s="902"/>
      <c r="H5" s="902"/>
      <c r="I5" s="902"/>
      <c r="J5" s="902"/>
      <c r="K5" s="902"/>
      <c r="L5" s="902"/>
      <c r="M5" s="902"/>
      <c r="N5" s="902"/>
      <c r="O5" s="902"/>
      <c r="P5" s="902"/>
      <c r="Q5" s="902"/>
      <c r="R5" s="902"/>
      <c r="S5" s="31"/>
      <c r="T5" s="842" t="s">
        <v>157</v>
      </c>
      <c r="U5" s="212"/>
    </row>
    <row r="6" spans="1:21" ht="21" customHeight="1">
      <c r="B6" s="93"/>
      <c r="C6" s="93"/>
      <c r="D6" s="884"/>
      <c r="E6" s="86"/>
      <c r="F6" s="919" t="s">
        <v>566</v>
      </c>
      <c r="G6" s="80"/>
      <c r="H6" s="920" t="s">
        <v>567</v>
      </c>
      <c r="I6" s="920"/>
      <c r="J6" s="920"/>
      <c r="K6" s="920"/>
      <c r="L6" s="920"/>
      <c r="M6" s="80"/>
      <c r="N6" s="921" t="s">
        <v>570</v>
      </c>
      <c r="O6" s="80"/>
      <c r="P6" s="923" t="s">
        <v>571</v>
      </c>
      <c r="Q6" s="80"/>
      <c r="R6" s="919" t="s">
        <v>24</v>
      </c>
      <c r="S6" s="31"/>
      <c r="T6" s="842"/>
      <c r="U6" s="212"/>
    </row>
    <row r="7" spans="1:21">
      <c r="B7" s="93"/>
      <c r="C7" s="93"/>
      <c r="D7" s="902"/>
      <c r="E7" s="80"/>
      <c r="F7" s="843"/>
      <c r="H7" s="188" t="s">
        <v>568</v>
      </c>
      <c r="I7" s="2"/>
      <c r="J7" s="130" t="s">
        <v>569</v>
      </c>
      <c r="K7" s="80"/>
      <c r="L7" s="214" t="s">
        <v>573</v>
      </c>
      <c r="M7" s="2"/>
      <c r="N7" s="922"/>
      <c r="O7" s="2"/>
      <c r="P7" s="902"/>
      <c r="Q7" s="2"/>
      <c r="R7" s="843"/>
      <c r="S7" s="2"/>
      <c r="T7" s="843"/>
      <c r="U7" s="2"/>
    </row>
    <row r="8" spans="1:21" ht="42">
      <c r="B8" s="93"/>
      <c r="C8" s="93"/>
      <c r="D8" s="58" t="s">
        <v>103</v>
      </c>
      <c r="E8" s="80"/>
      <c r="F8" s="58" t="s">
        <v>103</v>
      </c>
      <c r="H8" s="58" t="s">
        <v>103</v>
      </c>
      <c r="I8" s="31"/>
      <c r="J8" s="58" t="s">
        <v>103</v>
      </c>
      <c r="K8" s="58"/>
      <c r="L8" s="58" t="s">
        <v>103</v>
      </c>
      <c r="M8" s="31"/>
      <c r="N8" s="58" t="s">
        <v>103</v>
      </c>
      <c r="O8" s="2"/>
      <c r="P8" s="58" t="s">
        <v>103</v>
      </c>
      <c r="Q8" s="2"/>
      <c r="R8" s="58" t="s">
        <v>103</v>
      </c>
      <c r="S8" s="2"/>
      <c r="T8" s="58" t="s">
        <v>103</v>
      </c>
      <c r="U8" s="2"/>
    </row>
    <row r="9" spans="1:21">
      <c r="B9" s="93" t="s">
        <v>6</v>
      </c>
      <c r="C9" s="93"/>
      <c r="D9" s="306">
        <f>'41-1'!N12</f>
        <v>1598945000000</v>
      </c>
      <c r="E9" s="306"/>
      <c r="F9" s="306">
        <f>356367062424-H9</f>
        <v>289106640831</v>
      </c>
      <c r="G9" s="303"/>
      <c r="H9" s="306">
        <v>67260421593</v>
      </c>
      <c r="I9" s="465"/>
      <c r="J9" s="465">
        <v>0</v>
      </c>
      <c r="K9" s="465"/>
      <c r="L9" s="465">
        <v>0</v>
      </c>
      <c r="M9" s="465"/>
      <c r="N9" s="303">
        <v>0</v>
      </c>
      <c r="O9" s="303"/>
      <c r="P9" s="303">
        <v>0</v>
      </c>
      <c r="Q9" s="303"/>
      <c r="R9" s="306">
        <f>F9+H9</f>
        <v>356367062424</v>
      </c>
      <c r="S9" s="303"/>
      <c r="T9" s="306">
        <f t="shared" ref="T9:T16" si="0">D9-R9</f>
        <v>1242577937576</v>
      </c>
      <c r="U9" s="2"/>
    </row>
    <row r="10" spans="1:21">
      <c r="B10" s="93" t="s">
        <v>35</v>
      </c>
      <c r="C10" s="93"/>
      <c r="D10" s="306">
        <f>'41-1'!N13</f>
        <v>221743000000</v>
      </c>
      <c r="E10" s="306"/>
      <c r="F10" s="306">
        <f>193929575000-H10</f>
        <v>193924575000</v>
      </c>
      <c r="G10" s="303"/>
      <c r="H10" s="465">
        <v>5000000</v>
      </c>
      <c r="I10" s="465"/>
      <c r="J10" s="465">
        <v>0</v>
      </c>
      <c r="K10" s="465"/>
      <c r="L10" s="465">
        <v>0</v>
      </c>
      <c r="M10" s="465"/>
      <c r="N10" s="303">
        <v>0</v>
      </c>
      <c r="O10" s="303"/>
      <c r="P10" s="303">
        <v>0</v>
      </c>
      <c r="Q10" s="303"/>
      <c r="R10" s="306">
        <f t="shared" ref="R10:R16" si="1">F10+H10</f>
        <v>193929575000</v>
      </c>
      <c r="S10" s="303"/>
      <c r="T10" s="306">
        <f t="shared" si="0"/>
        <v>27813425000</v>
      </c>
      <c r="U10" s="2"/>
    </row>
    <row r="11" spans="1:21" hidden="1">
      <c r="B11" s="93" t="s">
        <v>572</v>
      </c>
      <c r="C11" s="93"/>
      <c r="D11" s="306">
        <v>0</v>
      </c>
      <c r="E11" s="306"/>
      <c r="F11" s="306">
        <v>0</v>
      </c>
      <c r="G11" s="303"/>
      <c r="H11" s="465">
        <v>0</v>
      </c>
      <c r="I11" s="465"/>
      <c r="J11" s="465">
        <v>0</v>
      </c>
      <c r="K11" s="465"/>
      <c r="L11" s="465">
        <v>0</v>
      </c>
      <c r="M11" s="465"/>
      <c r="N11" s="303">
        <v>0</v>
      </c>
      <c r="O11" s="303"/>
      <c r="P11" s="303">
        <v>0</v>
      </c>
      <c r="Q11" s="303"/>
      <c r="R11" s="303">
        <f t="shared" si="1"/>
        <v>0</v>
      </c>
      <c r="S11" s="303"/>
      <c r="T11" s="306">
        <f t="shared" si="0"/>
        <v>0</v>
      </c>
      <c r="U11" s="2"/>
    </row>
    <row r="12" spans="1:21" hidden="1">
      <c r="B12" s="93" t="s">
        <v>110</v>
      </c>
      <c r="C12" s="93"/>
      <c r="D12" s="306">
        <v>0</v>
      </c>
      <c r="E12" s="306"/>
      <c r="F12" s="306">
        <v>0</v>
      </c>
      <c r="G12" s="303"/>
      <c r="H12" s="465">
        <v>0</v>
      </c>
      <c r="I12" s="465"/>
      <c r="J12" s="465">
        <v>0</v>
      </c>
      <c r="K12" s="465"/>
      <c r="L12" s="465">
        <v>0</v>
      </c>
      <c r="M12" s="465"/>
      <c r="N12" s="303">
        <v>0</v>
      </c>
      <c r="O12" s="303"/>
      <c r="P12" s="303">
        <v>0</v>
      </c>
      <c r="Q12" s="303"/>
      <c r="R12" s="303">
        <f t="shared" si="1"/>
        <v>0</v>
      </c>
      <c r="S12" s="303"/>
      <c r="T12" s="306">
        <f t="shared" si="0"/>
        <v>0</v>
      </c>
      <c r="U12" s="2"/>
    </row>
    <row r="13" spans="1:21" hidden="1">
      <c r="B13" s="93" t="s">
        <v>7</v>
      </c>
      <c r="C13" s="93"/>
      <c r="D13" s="306">
        <v>0</v>
      </c>
      <c r="E13" s="306"/>
      <c r="F13" s="306">
        <v>0</v>
      </c>
      <c r="G13" s="303"/>
      <c r="H13" s="465">
        <v>0</v>
      </c>
      <c r="I13" s="465"/>
      <c r="J13" s="465">
        <v>0</v>
      </c>
      <c r="K13" s="465"/>
      <c r="L13" s="465">
        <v>0</v>
      </c>
      <c r="M13" s="465"/>
      <c r="N13" s="303">
        <v>0</v>
      </c>
      <c r="O13" s="303"/>
      <c r="P13" s="303">
        <v>0</v>
      </c>
      <c r="Q13" s="303"/>
      <c r="R13" s="303">
        <f t="shared" si="1"/>
        <v>0</v>
      </c>
      <c r="S13" s="303"/>
      <c r="T13" s="306">
        <f t="shared" si="0"/>
        <v>0</v>
      </c>
      <c r="U13" s="2"/>
    </row>
    <row r="14" spans="1:21">
      <c r="B14" s="93" t="s">
        <v>36</v>
      </c>
      <c r="C14" s="93"/>
      <c r="D14" s="306">
        <f>'41-1'!N17</f>
        <v>1000000000</v>
      </c>
      <c r="E14" s="306"/>
      <c r="F14" s="306">
        <v>0</v>
      </c>
      <c r="G14" s="303"/>
      <c r="H14" s="465">
        <v>0</v>
      </c>
      <c r="I14" s="465"/>
      <c r="J14" s="465">
        <v>0</v>
      </c>
      <c r="K14" s="465"/>
      <c r="L14" s="465">
        <v>0</v>
      </c>
      <c r="M14" s="465"/>
      <c r="N14" s="303">
        <v>0</v>
      </c>
      <c r="O14" s="303"/>
      <c r="P14" s="303">
        <v>0</v>
      </c>
      <c r="Q14" s="303"/>
      <c r="R14" s="303">
        <f t="shared" si="1"/>
        <v>0</v>
      </c>
      <c r="S14" s="303"/>
      <c r="T14" s="306">
        <f t="shared" si="0"/>
        <v>1000000000</v>
      </c>
      <c r="U14" s="2"/>
    </row>
    <row r="15" spans="1:21" hidden="1">
      <c r="B15" s="93" t="s">
        <v>111</v>
      </c>
      <c r="C15" s="93"/>
      <c r="D15" s="306">
        <v>0</v>
      </c>
      <c r="E15" s="306"/>
      <c r="F15" s="306">
        <v>0</v>
      </c>
      <c r="G15" s="303"/>
      <c r="H15" s="465">
        <v>0</v>
      </c>
      <c r="I15" s="465"/>
      <c r="J15" s="465">
        <v>0</v>
      </c>
      <c r="K15" s="465"/>
      <c r="L15" s="465">
        <v>0</v>
      </c>
      <c r="M15" s="465"/>
      <c r="N15" s="303">
        <v>0</v>
      </c>
      <c r="O15" s="303"/>
      <c r="P15" s="303">
        <v>0</v>
      </c>
      <c r="Q15" s="303"/>
      <c r="R15" s="303">
        <f t="shared" si="1"/>
        <v>0</v>
      </c>
      <c r="S15" s="303"/>
      <c r="T15" s="303">
        <f t="shared" si="0"/>
        <v>0</v>
      </c>
      <c r="U15" s="2"/>
    </row>
    <row r="16" spans="1:21" ht="21.75" thickBot="1">
      <c r="B16" s="93"/>
      <c r="C16" s="93"/>
      <c r="D16" s="300">
        <f>SUM(D9:D15)</f>
        <v>1821688000000</v>
      </c>
      <c r="E16" s="306"/>
      <c r="F16" s="300">
        <f>SUM(F9:F15)</f>
        <v>483031215831</v>
      </c>
      <c r="G16" s="303"/>
      <c r="H16" s="300">
        <f>SUM(H9:H15)</f>
        <v>67265421593</v>
      </c>
      <c r="I16" s="465"/>
      <c r="J16" s="300">
        <f>SUM(J9:J15)</f>
        <v>0</v>
      </c>
      <c r="K16" s="303"/>
      <c r="L16" s="300">
        <f>SUM(L9:L15)</f>
        <v>0</v>
      </c>
      <c r="M16" s="465"/>
      <c r="N16" s="300">
        <f>SUM(N9:N15)</f>
        <v>0</v>
      </c>
      <c r="O16" s="303"/>
      <c r="P16" s="300">
        <f>SUM(P9:P15)</f>
        <v>0</v>
      </c>
      <c r="Q16" s="303"/>
      <c r="R16" s="300">
        <f t="shared" si="1"/>
        <v>550296637424</v>
      </c>
      <c r="S16" s="303"/>
      <c r="T16" s="300">
        <f t="shared" si="0"/>
        <v>1271391362576</v>
      </c>
      <c r="U16" s="2"/>
    </row>
    <row r="17" spans="1:21" ht="18" customHeight="1" thickTop="1">
      <c r="A17" s="26"/>
      <c r="B17" s="213"/>
      <c r="C17" s="213"/>
      <c r="D17" s="213"/>
      <c r="E17" s="213"/>
      <c r="F17" s="213"/>
      <c r="G17" s="213"/>
      <c r="H17" s="213"/>
      <c r="I17" s="26"/>
      <c r="J17" s="26"/>
      <c r="K17" s="26"/>
      <c r="L17" s="26"/>
    </row>
    <row r="18" spans="1:21" ht="18" customHeight="1">
      <c r="A18" s="26"/>
      <c r="B18" s="901" t="s">
        <v>1403</v>
      </c>
      <c r="C18" s="901"/>
      <c r="D18" s="901"/>
      <c r="E18" s="901"/>
      <c r="F18" s="901"/>
      <c r="G18" s="901"/>
      <c r="H18" s="901"/>
      <c r="I18" s="26"/>
      <c r="J18" s="26"/>
      <c r="K18" s="26"/>
      <c r="L18" s="26"/>
    </row>
    <row r="19" spans="1:21" ht="21" customHeight="1">
      <c r="B19" s="93"/>
      <c r="C19" s="93"/>
      <c r="D19" s="884" t="s">
        <v>176</v>
      </c>
      <c r="E19" s="86"/>
      <c r="F19" s="902" t="s">
        <v>156</v>
      </c>
      <c r="G19" s="902"/>
      <c r="H19" s="902"/>
      <c r="I19" s="902"/>
      <c r="J19" s="902"/>
      <c r="K19" s="902"/>
      <c r="L19" s="902"/>
      <c r="M19" s="902"/>
      <c r="N19" s="902"/>
      <c r="O19" s="902"/>
      <c r="P19" s="902"/>
      <c r="Q19" s="902"/>
      <c r="R19" s="902"/>
      <c r="S19" s="31"/>
      <c r="T19" s="842" t="s">
        <v>157</v>
      </c>
      <c r="U19" s="212"/>
    </row>
    <row r="20" spans="1:21" ht="21" customHeight="1">
      <c r="B20" s="93"/>
      <c r="C20" s="93"/>
      <c r="D20" s="884"/>
      <c r="E20" s="86"/>
      <c r="F20" s="919" t="s">
        <v>566</v>
      </c>
      <c r="G20" s="80"/>
      <c r="H20" s="920" t="s">
        <v>567</v>
      </c>
      <c r="I20" s="920"/>
      <c r="J20" s="920"/>
      <c r="K20" s="920"/>
      <c r="L20" s="920"/>
      <c r="M20" s="80"/>
      <c r="N20" s="921" t="s">
        <v>570</v>
      </c>
      <c r="O20" s="80"/>
      <c r="P20" s="923" t="s">
        <v>571</v>
      </c>
      <c r="Q20" s="80"/>
      <c r="R20" s="919" t="s">
        <v>24</v>
      </c>
      <c r="S20" s="31"/>
      <c r="T20" s="842"/>
      <c r="U20" s="212"/>
    </row>
    <row r="21" spans="1:21">
      <c r="B21" s="93"/>
      <c r="C21" s="93"/>
      <c r="D21" s="902"/>
      <c r="E21" s="80"/>
      <c r="F21" s="843"/>
      <c r="H21" s="188" t="s">
        <v>568</v>
      </c>
      <c r="I21" s="2"/>
      <c r="J21" s="130" t="s">
        <v>569</v>
      </c>
      <c r="K21" s="80"/>
      <c r="L21" s="214" t="s">
        <v>573</v>
      </c>
      <c r="M21" s="2"/>
      <c r="N21" s="922"/>
      <c r="O21" s="2"/>
      <c r="P21" s="902"/>
      <c r="Q21" s="2"/>
      <c r="R21" s="843"/>
      <c r="S21" s="2"/>
      <c r="T21" s="843"/>
      <c r="U21" s="2"/>
    </row>
    <row r="22" spans="1:21" ht="42">
      <c r="B22" s="93"/>
      <c r="C22" s="93"/>
      <c r="D22" s="58" t="s">
        <v>103</v>
      </c>
      <c r="E22" s="80"/>
      <c r="F22" s="58" t="s">
        <v>103</v>
      </c>
      <c r="H22" s="58" t="s">
        <v>103</v>
      </c>
      <c r="I22" s="31"/>
      <c r="J22" s="58" t="s">
        <v>103</v>
      </c>
      <c r="K22" s="58"/>
      <c r="L22" s="58" t="s">
        <v>103</v>
      </c>
      <c r="M22" s="31"/>
      <c r="N22" s="58" t="s">
        <v>103</v>
      </c>
      <c r="O22" s="2"/>
      <c r="P22" s="58" t="s">
        <v>103</v>
      </c>
      <c r="Q22" s="2"/>
      <c r="R22" s="58" t="s">
        <v>103</v>
      </c>
      <c r="S22" s="2"/>
      <c r="T22" s="58" t="s">
        <v>103</v>
      </c>
      <c r="U22" s="2"/>
    </row>
    <row r="23" spans="1:21">
      <c r="B23" s="93" t="s">
        <v>6</v>
      </c>
      <c r="C23" s="93"/>
      <c r="D23" s="306">
        <v>45000000000</v>
      </c>
      <c r="E23" s="306"/>
      <c r="F23" s="306">
        <v>878625000</v>
      </c>
      <c r="G23" s="303"/>
      <c r="H23" s="306">
        <v>40000000000</v>
      </c>
      <c r="I23" s="465"/>
      <c r="J23" s="465">
        <v>0</v>
      </c>
      <c r="K23" s="465"/>
      <c r="L23" s="465">
        <v>0</v>
      </c>
      <c r="M23" s="465"/>
      <c r="N23" s="303">
        <v>0</v>
      </c>
      <c r="O23" s="303"/>
      <c r="P23" s="303">
        <v>0</v>
      </c>
      <c r="Q23" s="303"/>
      <c r="R23" s="306">
        <f>F23+H23</f>
        <v>40878625000</v>
      </c>
      <c r="S23" s="303"/>
      <c r="T23" s="306">
        <f>D23-R23</f>
        <v>4121375000</v>
      </c>
      <c r="U23" s="2"/>
    </row>
    <row r="24" spans="1:21" hidden="1">
      <c r="B24" s="93" t="s">
        <v>35</v>
      </c>
      <c r="C24" s="93"/>
      <c r="D24" s="306">
        <v>0</v>
      </c>
      <c r="E24" s="306"/>
      <c r="F24" s="306">
        <v>0</v>
      </c>
      <c r="G24" s="303"/>
      <c r="H24" s="465">
        <v>0</v>
      </c>
      <c r="I24" s="465"/>
      <c r="J24" s="465">
        <v>0</v>
      </c>
      <c r="K24" s="465"/>
      <c r="L24" s="465">
        <v>0</v>
      </c>
      <c r="M24" s="465"/>
      <c r="N24" s="303">
        <v>0</v>
      </c>
      <c r="O24" s="303"/>
      <c r="P24" s="303">
        <v>0</v>
      </c>
      <c r="Q24" s="303"/>
      <c r="R24" s="303">
        <v>0</v>
      </c>
      <c r="S24" s="303"/>
      <c r="T24" s="303">
        <v>0</v>
      </c>
      <c r="U24" s="2"/>
    </row>
    <row r="25" spans="1:21" hidden="1">
      <c r="B25" s="93" t="s">
        <v>572</v>
      </c>
      <c r="C25" s="93"/>
      <c r="D25" s="306">
        <v>0</v>
      </c>
      <c r="E25" s="306"/>
      <c r="F25" s="306">
        <v>0</v>
      </c>
      <c r="G25" s="303"/>
      <c r="H25" s="465">
        <v>0</v>
      </c>
      <c r="I25" s="465"/>
      <c r="J25" s="465">
        <v>0</v>
      </c>
      <c r="K25" s="465"/>
      <c r="L25" s="465">
        <v>0</v>
      </c>
      <c r="M25" s="465"/>
      <c r="N25" s="303">
        <v>0</v>
      </c>
      <c r="O25" s="303"/>
      <c r="P25" s="303">
        <v>0</v>
      </c>
      <c r="Q25" s="303"/>
      <c r="R25" s="303">
        <v>0</v>
      </c>
      <c r="S25" s="303"/>
      <c r="T25" s="303">
        <v>0</v>
      </c>
      <c r="U25" s="2"/>
    </row>
    <row r="26" spans="1:21" hidden="1">
      <c r="B26" s="93" t="s">
        <v>110</v>
      </c>
      <c r="C26" s="93"/>
      <c r="D26" s="306">
        <v>0</v>
      </c>
      <c r="E26" s="306"/>
      <c r="F26" s="306">
        <v>0</v>
      </c>
      <c r="G26" s="303"/>
      <c r="H26" s="465">
        <v>0</v>
      </c>
      <c r="I26" s="465"/>
      <c r="J26" s="465">
        <v>0</v>
      </c>
      <c r="K26" s="465"/>
      <c r="L26" s="465">
        <v>0</v>
      </c>
      <c r="M26" s="465"/>
      <c r="N26" s="303">
        <v>0</v>
      </c>
      <c r="O26" s="303"/>
      <c r="P26" s="303">
        <v>0</v>
      </c>
      <c r="Q26" s="303"/>
      <c r="R26" s="303">
        <v>0</v>
      </c>
      <c r="S26" s="303"/>
      <c r="T26" s="303">
        <v>0</v>
      </c>
      <c r="U26" s="2"/>
    </row>
    <row r="27" spans="1:21" hidden="1">
      <c r="B27" s="93" t="s">
        <v>7</v>
      </c>
      <c r="C27" s="93"/>
      <c r="D27" s="306">
        <v>0</v>
      </c>
      <c r="E27" s="306"/>
      <c r="F27" s="306">
        <v>0</v>
      </c>
      <c r="G27" s="303"/>
      <c r="H27" s="465">
        <v>0</v>
      </c>
      <c r="I27" s="465"/>
      <c r="J27" s="465">
        <v>0</v>
      </c>
      <c r="K27" s="465"/>
      <c r="L27" s="465">
        <v>0</v>
      </c>
      <c r="M27" s="465"/>
      <c r="N27" s="303">
        <v>0</v>
      </c>
      <c r="O27" s="303"/>
      <c r="P27" s="303">
        <v>0</v>
      </c>
      <c r="Q27" s="303"/>
      <c r="R27" s="303">
        <v>0</v>
      </c>
      <c r="S27" s="303"/>
      <c r="T27" s="303">
        <v>0</v>
      </c>
      <c r="U27" s="2"/>
    </row>
    <row r="28" spans="1:21" hidden="1">
      <c r="B28" s="93" t="s">
        <v>36</v>
      </c>
      <c r="C28" s="93"/>
      <c r="D28" s="306">
        <v>0</v>
      </c>
      <c r="E28" s="306"/>
      <c r="F28" s="306">
        <v>0</v>
      </c>
      <c r="G28" s="303"/>
      <c r="H28" s="465">
        <v>0</v>
      </c>
      <c r="I28" s="465"/>
      <c r="J28" s="465">
        <v>0</v>
      </c>
      <c r="K28" s="465"/>
      <c r="L28" s="465">
        <v>0</v>
      </c>
      <c r="M28" s="465"/>
      <c r="N28" s="303">
        <v>0</v>
      </c>
      <c r="O28" s="303"/>
      <c r="P28" s="303">
        <v>0</v>
      </c>
      <c r="Q28" s="303"/>
      <c r="R28" s="303">
        <v>0</v>
      </c>
      <c r="S28" s="303"/>
      <c r="T28" s="303">
        <v>0</v>
      </c>
      <c r="U28" s="2"/>
    </row>
    <row r="29" spans="1:21" hidden="1">
      <c r="B29" s="93" t="s">
        <v>111</v>
      </c>
      <c r="C29" s="93"/>
      <c r="D29" s="306">
        <v>0</v>
      </c>
      <c r="E29" s="306"/>
      <c r="F29" s="306">
        <v>0</v>
      </c>
      <c r="G29" s="303"/>
      <c r="H29" s="465">
        <v>0</v>
      </c>
      <c r="I29" s="465"/>
      <c r="J29" s="465">
        <v>0</v>
      </c>
      <c r="K29" s="465"/>
      <c r="L29" s="465">
        <v>0</v>
      </c>
      <c r="M29" s="465"/>
      <c r="N29" s="303">
        <v>0</v>
      </c>
      <c r="O29" s="303"/>
      <c r="P29" s="303">
        <v>0</v>
      </c>
      <c r="Q29" s="303"/>
      <c r="R29" s="303">
        <v>0</v>
      </c>
      <c r="S29" s="303"/>
      <c r="T29" s="303">
        <v>0</v>
      </c>
      <c r="U29" s="2"/>
    </row>
    <row r="30" spans="1:21" ht="21.75" thickBot="1">
      <c r="B30" s="93"/>
      <c r="C30" s="93"/>
      <c r="D30" s="300">
        <f>SUM(D23:D29)</f>
        <v>45000000000</v>
      </c>
      <c r="E30" s="306"/>
      <c r="F30" s="300">
        <f>SUM(F23:F29)</f>
        <v>878625000</v>
      </c>
      <c r="G30" s="303"/>
      <c r="H30" s="300">
        <f>SUM(H23:H29)</f>
        <v>40000000000</v>
      </c>
      <c r="I30" s="465"/>
      <c r="J30" s="300">
        <f>SUM(J23:J29)</f>
        <v>0</v>
      </c>
      <c r="K30" s="303"/>
      <c r="L30" s="300">
        <f ca="1">SUM(L23:L30)</f>
        <v>0</v>
      </c>
      <c r="M30" s="465"/>
      <c r="N30" s="300">
        <f>SUM(N23:N29)</f>
        <v>0</v>
      </c>
      <c r="O30" s="303"/>
      <c r="P30" s="300">
        <f>SUM(P23:P29)</f>
        <v>0</v>
      </c>
      <c r="Q30" s="303"/>
      <c r="R30" s="300">
        <f>SUM(R23:R29)</f>
        <v>40878625000</v>
      </c>
      <c r="S30" s="303"/>
      <c r="T30" s="300">
        <f>SUM(T23:T29)</f>
        <v>4121375000</v>
      </c>
      <c r="U30" s="2"/>
    </row>
    <row r="31" spans="1:21" ht="21.75" thickTop="1"/>
  </sheetData>
  <mergeCells count="21">
    <mergeCell ref="B18:H18"/>
    <mergeCell ref="D19:D21"/>
    <mergeCell ref="F19:R19"/>
    <mergeCell ref="T19:T21"/>
    <mergeCell ref="F20:F21"/>
    <mergeCell ref="N20:N21"/>
    <mergeCell ref="P20:P21"/>
    <mergeCell ref="R20:R21"/>
    <mergeCell ref="H20:L20"/>
    <mergeCell ref="A1:U1"/>
    <mergeCell ref="A2:U2"/>
    <mergeCell ref="A3:U3"/>
    <mergeCell ref="D5:D7"/>
    <mergeCell ref="F5:R5"/>
    <mergeCell ref="T5:T7"/>
    <mergeCell ref="F6:F7"/>
    <mergeCell ref="N6:N7"/>
    <mergeCell ref="H6:L6"/>
    <mergeCell ref="B4:T4"/>
    <mergeCell ref="P6:P7"/>
    <mergeCell ref="R6:R7"/>
  </mergeCells>
  <pageMargins left="0.70866141732283505" right="0.70866141732283505" top="0.74803149606299202" bottom="0.74803149606299202" header="0.31496062992126" footer="0.31496062992126"/>
  <pageSetup scale="92" firstPageNumber="50" orientation="landscape" useFirstPageNumber="1" r:id="rId1"/>
  <headerFooter>
    <oddFooter>&amp;C&amp;"B Nazanin,Regular"&amp;14&amp;P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rightToLeft="1" view="pageBreakPreview" zoomScaleNormal="130" zoomScaleSheetLayoutView="100" zoomScalePageLayoutView="70" workbookViewId="0">
      <selection activeCell="B14" sqref="B14:T14"/>
    </sheetView>
  </sheetViews>
  <sheetFormatPr defaultColWidth="9" defaultRowHeight="21"/>
  <cols>
    <col min="1" max="1" width="1.140625" style="1" customWidth="1"/>
    <col min="2" max="2" width="25" style="59" customWidth="1"/>
    <col min="3" max="3" width="0.28515625" style="1" customWidth="1"/>
    <col min="4" max="4" width="15.85546875" style="1" customWidth="1"/>
    <col min="5" max="5" width="0.42578125" style="1" customWidth="1"/>
    <col min="6" max="6" width="15.85546875" style="2" customWidth="1"/>
    <col min="7" max="7" width="0.42578125" style="2" customWidth="1"/>
    <col min="8" max="8" width="20.5703125" style="1" customWidth="1"/>
    <col min="9" max="9" width="0.42578125" style="1" customWidth="1"/>
    <col min="10" max="10" width="8.28515625" style="1" customWidth="1"/>
    <col min="11" max="11" width="0.28515625" style="1" customWidth="1"/>
    <col min="12" max="12" width="7.85546875" style="1" customWidth="1"/>
    <col min="13" max="13" width="0.42578125" style="1" customWidth="1"/>
    <col min="14" max="14" width="18.28515625" style="1" customWidth="1"/>
    <col min="15" max="15" width="0.42578125" style="1" customWidth="1"/>
    <col min="16" max="16" width="15.85546875" style="1" customWidth="1"/>
    <col min="17" max="17" width="0.42578125" style="1" customWidth="1"/>
    <col min="18" max="18" width="15.85546875" style="1" customWidth="1"/>
    <col min="19" max="19" width="0.42578125" style="1" customWidth="1"/>
    <col min="20" max="20" width="18.7109375" style="1" customWidth="1"/>
    <col min="21" max="21" width="0.5703125" style="1" customWidth="1"/>
    <col min="22" max="23" width="9" style="1"/>
    <col min="24" max="24" width="15.85546875" style="1" bestFit="1" customWidth="1"/>
    <col min="25" max="16384" width="9" style="1"/>
  </cols>
  <sheetData>
    <row r="1" spans="1:20" ht="21.75" customHeight="1">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765"/>
      <c r="S1" s="765"/>
      <c r="T1" s="765"/>
    </row>
    <row r="2" spans="1:20" s="26" customFormat="1">
      <c r="A2" s="767" t="s">
        <v>33</v>
      </c>
      <c r="B2" s="767"/>
      <c r="C2" s="767"/>
      <c r="D2" s="767"/>
      <c r="E2" s="767"/>
      <c r="F2" s="767"/>
      <c r="G2" s="767"/>
      <c r="H2" s="767"/>
      <c r="I2" s="767"/>
      <c r="J2" s="767"/>
      <c r="K2" s="767"/>
      <c r="L2" s="767"/>
      <c r="M2" s="767"/>
      <c r="N2" s="767"/>
      <c r="O2" s="767"/>
      <c r="P2" s="767"/>
      <c r="Q2" s="767"/>
      <c r="R2" s="767"/>
      <c r="S2" s="767"/>
      <c r="T2" s="767"/>
    </row>
    <row r="3" spans="1:20">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c r="T3" s="767"/>
    </row>
    <row r="4" spans="1:20" ht="18" customHeight="1">
      <c r="A4" s="26"/>
      <c r="B4" s="901" t="s">
        <v>1404</v>
      </c>
      <c r="C4" s="901"/>
      <c r="D4" s="901"/>
      <c r="E4" s="901"/>
      <c r="F4" s="901"/>
      <c r="G4" s="901"/>
      <c r="H4" s="901"/>
      <c r="I4" s="26"/>
      <c r="J4" s="26"/>
    </row>
    <row r="5" spans="1:20" s="89" customFormat="1" ht="51.75">
      <c r="B5" s="215"/>
      <c r="C5" s="215"/>
      <c r="D5" s="216" t="s">
        <v>62</v>
      </c>
      <c r="E5" s="221"/>
      <c r="F5" s="216" t="s">
        <v>574</v>
      </c>
      <c r="G5" s="111"/>
      <c r="H5" s="120" t="s">
        <v>575</v>
      </c>
      <c r="I5" s="111"/>
      <c r="J5" s="216" t="s">
        <v>576</v>
      </c>
      <c r="K5" s="111"/>
      <c r="L5" s="222" t="s">
        <v>577</v>
      </c>
      <c r="M5" s="111"/>
      <c r="N5" s="216" t="s">
        <v>592</v>
      </c>
      <c r="O5" s="111"/>
      <c r="P5" s="216" t="s">
        <v>578</v>
      </c>
      <c r="Q5" s="111"/>
      <c r="R5" s="216" t="s">
        <v>579</v>
      </c>
      <c r="S5" s="111"/>
      <c r="T5" s="216" t="s">
        <v>580</v>
      </c>
    </row>
    <row r="6" spans="1:20" ht="42">
      <c r="B6" s="93"/>
      <c r="C6" s="93"/>
      <c r="D6" s="58" t="s">
        <v>103</v>
      </c>
      <c r="E6" s="80"/>
      <c r="F6" s="58" t="s">
        <v>103</v>
      </c>
      <c r="H6" s="58" t="s">
        <v>103</v>
      </c>
      <c r="I6" s="31"/>
      <c r="J6" s="58" t="s">
        <v>103</v>
      </c>
      <c r="K6" s="31"/>
      <c r="L6" s="58" t="s">
        <v>103</v>
      </c>
      <c r="M6" s="2"/>
      <c r="N6" s="58" t="s">
        <v>103</v>
      </c>
      <c r="O6" s="2"/>
      <c r="P6" s="58" t="s">
        <v>103</v>
      </c>
      <c r="Q6" s="2"/>
      <c r="R6" s="58" t="s">
        <v>103</v>
      </c>
      <c r="S6" s="2"/>
      <c r="T6" s="58" t="s">
        <v>103</v>
      </c>
    </row>
    <row r="7" spans="1:20" ht="24.75">
      <c r="B7" s="93" t="s">
        <v>581</v>
      </c>
      <c r="C7" s="93"/>
      <c r="D7" s="625">
        <v>115599214756</v>
      </c>
      <c r="E7" s="625"/>
      <c r="F7" s="625">
        <v>0</v>
      </c>
      <c r="G7" s="299"/>
      <c r="H7" s="632">
        <v>0</v>
      </c>
      <c r="I7" s="632"/>
      <c r="J7" s="632">
        <v>0</v>
      </c>
      <c r="K7" s="632"/>
      <c r="L7" s="299">
        <v>0</v>
      </c>
      <c r="M7" s="299"/>
      <c r="N7" s="625">
        <v>40720385509</v>
      </c>
      <c r="O7" s="299"/>
      <c r="P7" s="625">
        <f>N7+D7</f>
        <v>156319600265</v>
      </c>
      <c r="Q7" s="299"/>
      <c r="R7" s="625">
        <f>P7-T7</f>
        <v>138931896230</v>
      </c>
      <c r="S7" s="299"/>
      <c r="T7" s="625">
        <v>17387704035</v>
      </c>
    </row>
    <row r="8" spans="1:20" ht="24.75">
      <c r="B8" s="93" t="s">
        <v>582</v>
      </c>
      <c r="C8" s="93"/>
      <c r="D8" s="636">
        <v>319077562157</v>
      </c>
      <c r="E8" s="625"/>
      <c r="F8" s="636">
        <v>0</v>
      </c>
      <c r="G8" s="299"/>
      <c r="H8" s="637">
        <v>0</v>
      </c>
      <c r="I8" s="632"/>
      <c r="J8" s="637">
        <v>0</v>
      </c>
      <c r="K8" s="632"/>
      <c r="L8" s="638">
        <v>0</v>
      </c>
      <c r="M8" s="299"/>
      <c r="N8" s="636">
        <v>256000000000</v>
      </c>
      <c r="O8" s="299"/>
      <c r="P8" s="636">
        <f>N8+D8</f>
        <v>575077562157</v>
      </c>
      <c r="Q8" s="299"/>
      <c r="R8" s="636">
        <f>P8-T8</f>
        <v>532313237666</v>
      </c>
      <c r="S8" s="299"/>
      <c r="T8" s="636">
        <v>42764324491</v>
      </c>
    </row>
    <row r="9" spans="1:20" ht="24.75">
      <c r="B9" s="93" t="s">
        <v>583</v>
      </c>
      <c r="C9" s="93"/>
      <c r="D9" s="625">
        <f>SUM(D7:D8)</f>
        <v>434676776913</v>
      </c>
      <c r="E9" s="625"/>
      <c r="F9" s="625">
        <f>SUM(F7:F8)</f>
        <v>0</v>
      </c>
      <c r="G9" s="299"/>
      <c r="H9" s="632">
        <f>SUM(H7:H8)</f>
        <v>0</v>
      </c>
      <c r="I9" s="632"/>
      <c r="J9" s="632">
        <f>SUM(J7:J8)</f>
        <v>0</v>
      </c>
      <c r="K9" s="632"/>
      <c r="L9" s="299">
        <f>SUM(L7:L8)</f>
        <v>0</v>
      </c>
      <c r="M9" s="299"/>
      <c r="N9" s="299">
        <f>SUM(N7:N8)</f>
        <v>296720385509</v>
      </c>
      <c r="O9" s="299"/>
      <c r="P9" s="299">
        <f>SUM(P7:P8)</f>
        <v>731397162422</v>
      </c>
      <c r="Q9" s="299"/>
      <c r="R9" s="299">
        <f>SUM(R7:R8)</f>
        <v>671245133896</v>
      </c>
      <c r="S9" s="299"/>
      <c r="T9" s="299">
        <f>SUM(T7:T8)</f>
        <v>60152028526</v>
      </c>
    </row>
    <row r="10" spans="1:20" ht="24.75">
      <c r="B10" s="93" t="s">
        <v>584</v>
      </c>
      <c r="C10" s="93"/>
      <c r="D10" s="625">
        <v>248735814173</v>
      </c>
      <c r="E10" s="625"/>
      <c r="F10" s="625">
        <v>0</v>
      </c>
      <c r="G10" s="299"/>
      <c r="H10" s="632">
        <v>0</v>
      </c>
      <c r="I10" s="632"/>
      <c r="J10" s="632">
        <v>0</v>
      </c>
      <c r="K10" s="632"/>
      <c r="L10" s="299">
        <v>0</v>
      </c>
      <c r="M10" s="299"/>
      <c r="N10" s="299">
        <v>960000000</v>
      </c>
      <c r="O10" s="299"/>
      <c r="P10" s="299">
        <f>N10+D10</f>
        <v>249695814173</v>
      </c>
      <c r="Q10" s="299"/>
      <c r="R10" s="299">
        <f>P10-T10</f>
        <v>242041826301</v>
      </c>
      <c r="S10" s="299"/>
      <c r="T10" s="299">
        <v>7653987872</v>
      </c>
    </row>
    <row r="11" spans="1:20" ht="24.75">
      <c r="B11" s="93" t="s">
        <v>585</v>
      </c>
      <c r="C11" s="93"/>
      <c r="D11" s="636">
        <v>10000000000</v>
      </c>
      <c r="E11" s="625"/>
      <c r="F11" s="636">
        <v>0</v>
      </c>
      <c r="G11" s="299"/>
      <c r="H11" s="637">
        <v>0</v>
      </c>
      <c r="I11" s="632"/>
      <c r="J11" s="637">
        <v>0</v>
      </c>
      <c r="K11" s="632"/>
      <c r="L11" s="638">
        <v>0</v>
      </c>
      <c r="M11" s="299"/>
      <c r="N11" s="638">
        <v>75000000000</v>
      </c>
      <c r="O11" s="299"/>
      <c r="P11" s="638">
        <f>N11+D11</f>
        <v>85000000000</v>
      </c>
      <c r="Q11" s="299"/>
      <c r="R11" s="638">
        <v>85000000000</v>
      </c>
      <c r="S11" s="299"/>
      <c r="T11" s="638">
        <v>0</v>
      </c>
    </row>
    <row r="12" spans="1:20" ht="24.75">
      <c r="B12" s="93" t="s">
        <v>586</v>
      </c>
      <c r="C12" s="93"/>
      <c r="D12" s="625">
        <f>SUM(D10:D11)</f>
        <v>258735814173</v>
      </c>
      <c r="E12" s="625"/>
      <c r="F12" s="625">
        <f>SUM(F10:F11)</f>
        <v>0</v>
      </c>
      <c r="G12" s="299"/>
      <c r="H12" s="632">
        <f>SUM(H10:H11)</f>
        <v>0</v>
      </c>
      <c r="I12" s="632"/>
      <c r="J12" s="632">
        <f>SUM(J10:J11)</f>
        <v>0</v>
      </c>
      <c r="K12" s="632"/>
      <c r="L12" s="299">
        <f>SUM(L10:L11)</f>
        <v>0</v>
      </c>
      <c r="M12" s="299"/>
      <c r="N12" s="625">
        <f>SUM(N10:N11)</f>
        <v>75960000000</v>
      </c>
      <c r="O12" s="299"/>
      <c r="P12" s="625">
        <f>SUM(P10:P11)</f>
        <v>334695814173</v>
      </c>
      <c r="Q12" s="299"/>
      <c r="R12" s="625">
        <f>SUM(R10:R11)</f>
        <v>327041826301</v>
      </c>
      <c r="S12" s="299"/>
      <c r="T12" s="299">
        <f>SUM(T10:T11)</f>
        <v>7653987872</v>
      </c>
    </row>
    <row r="13" spans="1:20" ht="25.5" thickBot="1">
      <c r="B13" s="93"/>
      <c r="C13" s="93"/>
      <c r="D13" s="631">
        <f>D9+D12</f>
        <v>693412591086</v>
      </c>
      <c r="E13" s="625"/>
      <c r="F13" s="631">
        <f>F9+F12</f>
        <v>0</v>
      </c>
      <c r="G13" s="299"/>
      <c r="H13" s="631">
        <f>H9+H12</f>
        <v>0</v>
      </c>
      <c r="I13" s="632"/>
      <c r="J13" s="631">
        <f>J9+J12</f>
        <v>0</v>
      </c>
      <c r="K13" s="632"/>
      <c r="L13" s="631">
        <f>L9+L12</f>
        <v>0</v>
      </c>
      <c r="M13" s="299"/>
      <c r="N13" s="631">
        <f>N9+N12</f>
        <v>372680385509</v>
      </c>
      <c r="O13" s="299"/>
      <c r="P13" s="631">
        <f>P9+P12</f>
        <v>1066092976595</v>
      </c>
      <c r="Q13" s="299"/>
      <c r="R13" s="631">
        <f>R9+R12</f>
        <v>998286960197</v>
      </c>
      <c r="S13" s="299"/>
      <c r="T13" s="631">
        <f>T9+T12</f>
        <v>67806016398</v>
      </c>
    </row>
    <row r="14" spans="1:20" ht="18" customHeight="1" thickTop="1">
      <c r="A14" s="26"/>
      <c r="B14" s="926" t="s">
        <v>1405</v>
      </c>
      <c r="C14" s="926"/>
      <c r="D14" s="926"/>
      <c r="E14" s="926"/>
      <c r="F14" s="926"/>
      <c r="G14" s="926"/>
      <c r="H14" s="926"/>
      <c r="I14" s="926"/>
      <c r="J14" s="926"/>
      <c r="K14" s="926"/>
      <c r="L14" s="926"/>
      <c r="M14" s="926"/>
      <c r="N14" s="926"/>
      <c r="O14" s="926"/>
      <c r="P14" s="926"/>
      <c r="Q14" s="926"/>
      <c r="R14" s="926"/>
      <c r="S14" s="926"/>
      <c r="T14" s="926"/>
    </row>
    <row r="15" spans="1:20" ht="18" customHeight="1">
      <c r="A15" s="26"/>
      <c r="B15" s="213"/>
      <c r="C15" s="213"/>
      <c r="D15" s="213"/>
      <c r="E15" s="213"/>
      <c r="F15" s="213"/>
      <c r="G15" s="213"/>
      <c r="H15" s="213"/>
      <c r="I15" s="26"/>
      <c r="J15" s="26"/>
    </row>
    <row r="16" spans="1:20" ht="18" customHeight="1">
      <c r="A16" s="26"/>
      <c r="B16" s="901" t="s">
        <v>1406</v>
      </c>
      <c r="C16" s="901"/>
      <c r="D16" s="901"/>
      <c r="E16" s="901"/>
      <c r="F16" s="901"/>
      <c r="G16" s="901"/>
      <c r="H16" s="901"/>
      <c r="I16" s="901"/>
      <c r="J16" s="901"/>
    </row>
    <row r="17" spans="1:20" ht="18" customHeight="1">
      <c r="A17" s="26"/>
      <c r="B17" s="901" t="s">
        <v>1407</v>
      </c>
      <c r="C17" s="901"/>
      <c r="D17" s="901"/>
      <c r="E17" s="901"/>
      <c r="F17" s="901"/>
      <c r="G17" s="901"/>
      <c r="H17" s="901"/>
      <c r="I17" s="901"/>
      <c r="J17" s="901"/>
    </row>
    <row r="18" spans="1:20" ht="21" customHeight="1">
      <c r="B18" s="93"/>
      <c r="C18" s="93"/>
      <c r="D18" s="842" t="s">
        <v>176</v>
      </c>
      <c r="E18" s="86"/>
      <c r="F18" s="902" t="s">
        <v>156</v>
      </c>
      <c r="G18" s="902"/>
      <c r="H18" s="902"/>
      <c r="I18" s="902"/>
      <c r="J18" s="902"/>
      <c r="K18" s="902"/>
      <c r="L18" s="902"/>
      <c r="M18" s="902"/>
      <c r="N18" s="902"/>
      <c r="O18" s="902"/>
      <c r="P18" s="902"/>
      <c r="Q18" s="31"/>
      <c r="R18" s="842" t="s">
        <v>157</v>
      </c>
      <c r="S18" s="31"/>
      <c r="T18" s="842"/>
    </row>
    <row r="19" spans="1:20" ht="21" customHeight="1">
      <c r="B19" s="93"/>
      <c r="C19" s="93"/>
      <c r="D19" s="842"/>
      <c r="E19" s="86"/>
      <c r="F19" s="919" t="s">
        <v>566</v>
      </c>
      <c r="G19" s="80"/>
      <c r="H19" s="920" t="s">
        <v>567</v>
      </c>
      <c r="I19" s="920"/>
      <c r="J19" s="920"/>
      <c r="K19" s="80"/>
      <c r="L19" s="921" t="s">
        <v>570</v>
      </c>
      <c r="M19" s="80"/>
      <c r="N19" s="923" t="s">
        <v>571</v>
      </c>
      <c r="O19" s="80"/>
      <c r="P19" s="919" t="s">
        <v>24</v>
      </c>
      <c r="Q19" s="31"/>
      <c r="R19" s="842"/>
      <c r="S19" s="31"/>
      <c r="T19" s="842"/>
    </row>
    <row r="20" spans="1:20">
      <c r="B20" s="93"/>
      <c r="C20" s="93"/>
      <c r="D20" s="843"/>
      <c r="E20" s="80"/>
      <c r="F20" s="843"/>
      <c r="H20" s="188" t="s">
        <v>568</v>
      </c>
      <c r="I20" s="2"/>
      <c r="J20" s="130" t="s">
        <v>569</v>
      </c>
      <c r="K20" s="2"/>
      <c r="L20" s="922"/>
      <c r="M20" s="2"/>
      <c r="N20" s="902"/>
      <c r="O20" s="2"/>
      <c r="P20" s="843"/>
      <c r="Q20" s="2"/>
      <c r="R20" s="843"/>
      <c r="S20" s="2"/>
      <c r="T20" s="842"/>
    </row>
    <row r="21" spans="1:20" ht="42">
      <c r="B21" s="93"/>
      <c r="C21" s="93"/>
      <c r="D21" s="58" t="s">
        <v>103</v>
      </c>
      <c r="E21" s="80"/>
      <c r="F21" s="58" t="s">
        <v>103</v>
      </c>
      <c r="H21" s="58" t="s">
        <v>103</v>
      </c>
      <c r="I21" s="31"/>
      <c r="J21" s="58" t="s">
        <v>103</v>
      </c>
      <c r="K21" s="31"/>
      <c r="L21" s="58" t="s">
        <v>103</v>
      </c>
      <c r="M21" s="2"/>
      <c r="N21" s="58" t="s">
        <v>103</v>
      </c>
      <c r="O21" s="2"/>
      <c r="P21" s="58" t="s">
        <v>103</v>
      </c>
      <c r="Q21" s="2"/>
      <c r="R21" s="58" t="s">
        <v>103</v>
      </c>
    </row>
    <row r="22" spans="1:20" ht="24.75">
      <c r="B22" s="93" t="s">
        <v>128</v>
      </c>
      <c r="C22" s="93"/>
      <c r="D22" s="625">
        <v>286711571</v>
      </c>
      <c r="E22" s="625"/>
      <c r="F22" s="625">
        <v>286711571</v>
      </c>
      <c r="G22" s="299"/>
      <c r="H22" s="632">
        <v>0</v>
      </c>
      <c r="I22" s="632"/>
      <c r="J22" s="632">
        <v>0</v>
      </c>
      <c r="K22" s="632"/>
      <c r="L22" s="299">
        <v>0</v>
      </c>
      <c r="M22" s="299"/>
      <c r="N22" s="299">
        <v>0</v>
      </c>
      <c r="O22" s="299"/>
      <c r="P22" s="625">
        <f>F22+H22+J22+L22</f>
        <v>286711571</v>
      </c>
      <c r="Q22" s="299"/>
      <c r="R22" s="299">
        <f t="shared" ref="R22:R28" si="0">D22-P22</f>
        <v>0</v>
      </c>
    </row>
    <row r="23" spans="1:20" ht="24.75">
      <c r="B23" s="93" t="s">
        <v>108</v>
      </c>
      <c r="C23" s="93"/>
      <c r="D23" s="625">
        <f>34642484843+39450000000</f>
        <v>74092484843</v>
      </c>
      <c r="E23" s="625"/>
      <c r="F23" s="625">
        <v>55451565351</v>
      </c>
      <c r="G23" s="299"/>
      <c r="H23" s="625">
        <v>10200646606</v>
      </c>
      <c r="I23" s="632"/>
      <c r="J23" s="632">
        <v>0</v>
      </c>
      <c r="K23" s="632"/>
      <c r="L23" s="299">
        <v>0</v>
      </c>
      <c r="M23" s="299"/>
      <c r="N23" s="299">
        <v>0</v>
      </c>
      <c r="O23" s="299"/>
      <c r="P23" s="625">
        <f>F23+H23+J23+L23</f>
        <v>65652211957</v>
      </c>
      <c r="Q23" s="299"/>
      <c r="R23" s="299">
        <f t="shared" si="0"/>
        <v>8440272886</v>
      </c>
    </row>
    <row r="24" spans="1:20" ht="24.75">
      <c r="B24" s="93" t="s">
        <v>564</v>
      </c>
      <c r="C24" s="93"/>
      <c r="D24" s="625">
        <v>0</v>
      </c>
      <c r="E24" s="625"/>
      <c r="F24" s="625">
        <v>0</v>
      </c>
      <c r="G24" s="299"/>
      <c r="H24" s="632">
        <v>0</v>
      </c>
      <c r="I24" s="632"/>
      <c r="J24" s="632">
        <v>0</v>
      </c>
      <c r="K24" s="632"/>
      <c r="L24" s="299">
        <v>0</v>
      </c>
      <c r="M24" s="299"/>
      <c r="N24" s="299">
        <v>0</v>
      </c>
      <c r="O24" s="299"/>
      <c r="P24" s="299">
        <f>F24+H24+J24+L24</f>
        <v>0</v>
      </c>
      <c r="Q24" s="299"/>
      <c r="R24" s="299">
        <f t="shared" si="0"/>
        <v>0</v>
      </c>
    </row>
    <row r="25" spans="1:20" ht="24.75">
      <c r="B25" s="93" t="s">
        <v>587</v>
      </c>
      <c r="C25" s="93"/>
      <c r="D25" s="625">
        <v>1420385509</v>
      </c>
      <c r="E25" s="625"/>
      <c r="F25" s="625">
        <v>84000000</v>
      </c>
      <c r="G25" s="299"/>
      <c r="H25" s="632">
        <v>0</v>
      </c>
      <c r="I25" s="632"/>
      <c r="J25" s="632">
        <v>0</v>
      </c>
      <c r="K25" s="632"/>
      <c r="L25" s="299">
        <v>0</v>
      </c>
      <c r="M25" s="299"/>
      <c r="N25" s="299">
        <v>0</v>
      </c>
      <c r="O25" s="299"/>
      <c r="P25" s="625">
        <f>F25+H25+J25+L25</f>
        <v>84000000</v>
      </c>
      <c r="Q25" s="299"/>
      <c r="R25" s="299">
        <f t="shared" si="0"/>
        <v>1336385509</v>
      </c>
    </row>
    <row r="26" spans="1:20" ht="24.75">
      <c r="B26" s="93" t="s">
        <v>171</v>
      </c>
      <c r="C26" s="93"/>
      <c r="D26" s="625">
        <v>80520018342</v>
      </c>
      <c r="E26" s="625"/>
      <c r="F26" s="625">
        <v>80520018342</v>
      </c>
      <c r="G26" s="299"/>
      <c r="H26" s="632">
        <v>0</v>
      </c>
      <c r="I26" s="632"/>
      <c r="J26" s="632">
        <v>0</v>
      </c>
      <c r="K26" s="632"/>
      <c r="L26" s="299">
        <v>0</v>
      </c>
      <c r="M26" s="299"/>
      <c r="N26" s="299">
        <v>0</v>
      </c>
      <c r="O26" s="299"/>
      <c r="P26" s="625">
        <f>F26+H26+J26+L26</f>
        <v>80520018342</v>
      </c>
      <c r="Q26" s="299"/>
      <c r="R26" s="299">
        <f t="shared" si="0"/>
        <v>0</v>
      </c>
    </row>
    <row r="27" spans="1:20" ht="24.75">
      <c r="B27" s="93" t="s">
        <v>516</v>
      </c>
      <c r="C27" s="93"/>
      <c r="D27" s="625"/>
      <c r="E27" s="625"/>
      <c r="F27" s="625">
        <v>0</v>
      </c>
      <c r="G27" s="299"/>
      <c r="H27" s="632">
        <v>0</v>
      </c>
      <c r="I27" s="632"/>
      <c r="J27" s="632">
        <v>0</v>
      </c>
      <c r="K27" s="632"/>
      <c r="L27" s="299">
        <v>0</v>
      </c>
      <c r="M27" s="299"/>
      <c r="N27" s="299">
        <v>0</v>
      </c>
      <c r="O27" s="299"/>
      <c r="P27" s="625">
        <f>H27+F27</f>
        <v>0</v>
      </c>
      <c r="Q27" s="299"/>
      <c r="R27" s="299">
        <f t="shared" si="0"/>
        <v>0</v>
      </c>
    </row>
    <row r="28" spans="1:20" ht="25.5" thickBot="1">
      <c r="B28" s="93"/>
      <c r="C28" s="93"/>
      <c r="D28" s="631">
        <f>SUM(D22:D27)</f>
        <v>156319600265</v>
      </c>
      <c r="E28" s="625"/>
      <c r="F28" s="631">
        <f>SUM(F22:F27)</f>
        <v>136342295264</v>
      </c>
      <c r="G28" s="299"/>
      <c r="H28" s="631">
        <f>SUM(H22:H27)</f>
        <v>10200646606</v>
      </c>
      <c r="I28" s="632"/>
      <c r="J28" s="631">
        <f>SUM(J22:J27)</f>
        <v>0</v>
      </c>
      <c r="K28" s="632"/>
      <c r="L28" s="631">
        <f>SUM(L22:L27)</f>
        <v>0</v>
      </c>
      <c r="M28" s="299"/>
      <c r="N28" s="631">
        <f>SUM(N22:N27)</f>
        <v>0</v>
      </c>
      <c r="O28" s="299"/>
      <c r="P28" s="631">
        <f>H28+F28</f>
        <v>146542941870</v>
      </c>
      <c r="Q28" s="299"/>
      <c r="R28" s="631">
        <f t="shared" si="0"/>
        <v>9776658395</v>
      </c>
    </row>
    <row r="29" spans="1:20" ht="21.75" thickTop="1"/>
    <row r="30" spans="1:20" ht="18" customHeight="1">
      <c r="A30" s="26"/>
    </row>
    <row r="31" spans="1:20" ht="18" customHeight="1">
      <c r="A31" s="26"/>
      <c r="B31" s="924" t="str">
        <f>مفروضات!$C$1</f>
        <v>دانشگاه علوم پزشکی و خدمات بهداشتی درمانی سمنان</v>
      </c>
      <c r="C31" s="925"/>
      <c r="D31" s="925"/>
      <c r="E31" s="925"/>
      <c r="F31" s="925"/>
      <c r="G31" s="925"/>
      <c r="H31" s="925"/>
      <c r="I31" s="925"/>
      <c r="J31" s="925"/>
      <c r="K31" s="925"/>
      <c r="L31" s="925"/>
      <c r="M31" s="925"/>
      <c r="N31" s="925"/>
      <c r="O31" s="925"/>
      <c r="P31" s="925"/>
      <c r="Q31" s="925"/>
      <c r="R31" s="925"/>
      <c r="S31" s="925"/>
      <c r="T31" s="925"/>
    </row>
    <row r="32" spans="1:20" ht="18" customHeight="1">
      <c r="A32" s="26"/>
      <c r="B32" s="925" t="s">
        <v>33</v>
      </c>
      <c r="C32" s="925"/>
      <c r="D32" s="925"/>
      <c r="E32" s="925"/>
      <c r="F32" s="925"/>
      <c r="G32" s="925"/>
      <c r="H32" s="925"/>
      <c r="I32" s="925"/>
      <c r="J32" s="925"/>
      <c r="K32" s="925"/>
      <c r="L32" s="925"/>
      <c r="M32" s="925"/>
      <c r="N32" s="925"/>
      <c r="O32" s="925"/>
      <c r="P32" s="925"/>
      <c r="Q32" s="925"/>
      <c r="R32" s="925"/>
      <c r="S32" s="925"/>
      <c r="T32" s="925"/>
    </row>
    <row r="33" spans="1:21" ht="18" customHeight="1">
      <c r="A33" s="26"/>
      <c r="B33" s="924" t="str">
        <f>مفروضات!$C$7</f>
        <v>سال مالي منتهي به 29 اسفند ماه 1402</v>
      </c>
      <c r="C33" s="925"/>
      <c r="D33" s="925"/>
      <c r="E33" s="925"/>
      <c r="F33" s="925"/>
      <c r="G33" s="925"/>
      <c r="H33" s="925"/>
      <c r="I33" s="925"/>
      <c r="J33" s="925"/>
      <c r="K33" s="925"/>
      <c r="L33" s="925"/>
      <c r="M33" s="925"/>
      <c r="N33" s="925"/>
      <c r="O33" s="925"/>
      <c r="P33" s="925"/>
      <c r="Q33" s="925"/>
      <c r="R33" s="925"/>
      <c r="S33" s="925"/>
      <c r="T33" s="925"/>
      <c r="U33" s="925"/>
    </row>
    <row r="34" spans="1:21" ht="18" customHeight="1">
      <c r="A34" s="26"/>
      <c r="B34" s="901" t="s">
        <v>1408</v>
      </c>
      <c r="C34" s="901"/>
      <c r="D34" s="901"/>
      <c r="E34" s="901"/>
      <c r="F34" s="901"/>
      <c r="G34" s="901"/>
      <c r="H34" s="901"/>
      <c r="I34" s="901"/>
      <c r="J34" s="901"/>
    </row>
    <row r="35" spans="1:21" ht="21" customHeight="1">
      <c r="B35" s="93"/>
      <c r="C35" s="93"/>
      <c r="D35" s="842" t="s">
        <v>176</v>
      </c>
      <c r="E35" s="86"/>
      <c r="F35" s="902" t="s">
        <v>156</v>
      </c>
      <c r="G35" s="902"/>
      <c r="H35" s="902"/>
      <c r="I35" s="902"/>
      <c r="J35" s="902"/>
      <c r="K35" s="902"/>
      <c r="L35" s="902"/>
      <c r="M35" s="902"/>
      <c r="N35" s="902"/>
      <c r="O35" s="902"/>
      <c r="P35" s="902"/>
      <c r="Q35" s="31"/>
      <c r="R35" s="842" t="s">
        <v>157</v>
      </c>
      <c r="S35" s="31"/>
      <c r="T35" s="842"/>
    </row>
    <row r="36" spans="1:21" ht="21" customHeight="1">
      <c r="B36" s="93"/>
      <c r="C36" s="93"/>
      <c r="D36" s="842"/>
      <c r="E36" s="86"/>
      <c r="F36" s="919" t="s">
        <v>566</v>
      </c>
      <c r="G36" s="80"/>
      <c r="H36" s="920" t="s">
        <v>567</v>
      </c>
      <c r="I36" s="920"/>
      <c r="J36" s="920"/>
      <c r="K36" s="80"/>
      <c r="L36" s="921" t="s">
        <v>570</v>
      </c>
      <c r="M36" s="80"/>
      <c r="N36" s="923" t="s">
        <v>571</v>
      </c>
      <c r="O36" s="80"/>
      <c r="P36" s="919" t="s">
        <v>24</v>
      </c>
      <c r="Q36" s="31"/>
      <c r="R36" s="842"/>
      <c r="S36" s="31"/>
      <c r="T36" s="842"/>
    </row>
    <row r="37" spans="1:21">
      <c r="B37" s="93"/>
      <c r="C37" s="93"/>
      <c r="D37" s="843"/>
      <c r="E37" s="80"/>
      <c r="F37" s="843"/>
      <c r="H37" s="188" t="s">
        <v>568</v>
      </c>
      <c r="I37" s="2"/>
      <c r="J37" s="130" t="s">
        <v>569</v>
      </c>
      <c r="K37" s="2"/>
      <c r="L37" s="922"/>
      <c r="M37" s="2"/>
      <c r="N37" s="902"/>
      <c r="O37" s="2"/>
      <c r="P37" s="843"/>
      <c r="Q37" s="2"/>
      <c r="R37" s="843"/>
      <c r="S37" s="2"/>
      <c r="T37" s="842"/>
    </row>
    <row r="38" spans="1:21" ht="42">
      <c r="B38" s="93"/>
      <c r="C38" s="93"/>
      <c r="D38" s="58" t="s">
        <v>103</v>
      </c>
      <c r="E38" s="80"/>
      <c r="F38" s="58" t="s">
        <v>103</v>
      </c>
      <c r="H38" s="58" t="s">
        <v>103</v>
      </c>
      <c r="I38" s="31"/>
      <c r="J38" s="58" t="s">
        <v>103</v>
      </c>
      <c r="K38" s="31"/>
      <c r="L38" s="58" t="s">
        <v>103</v>
      </c>
      <c r="M38" s="2"/>
      <c r="N38" s="58" t="s">
        <v>103</v>
      </c>
      <c r="O38" s="2"/>
      <c r="P38" s="58" t="s">
        <v>103</v>
      </c>
      <c r="Q38" s="2"/>
      <c r="R38" s="58" t="s">
        <v>103</v>
      </c>
    </row>
    <row r="39" spans="1:21" ht="24.75">
      <c r="B39" s="93" t="s">
        <v>128</v>
      </c>
      <c r="C39" s="93"/>
      <c r="D39" s="625">
        <v>3465139645</v>
      </c>
      <c r="E39" s="625"/>
      <c r="F39" s="625">
        <v>3465139645</v>
      </c>
      <c r="G39" s="299"/>
      <c r="H39" s="632">
        <v>0</v>
      </c>
      <c r="I39" s="632"/>
      <c r="J39" s="632">
        <v>0</v>
      </c>
      <c r="K39" s="632"/>
      <c r="L39" s="299">
        <v>0</v>
      </c>
      <c r="M39" s="299"/>
      <c r="N39" s="299">
        <v>0</v>
      </c>
      <c r="O39" s="299"/>
      <c r="P39" s="299">
        <f t="shared" ref="P39:P44" si="1">F39+H39+J39+L39</f>
        <v>3465139645</v>
      </c>
      <c r="Q39" s="299"/>
      <c r="R39" s="299">
        <f t="shared" ref="R39:R44" si="2">D39-P39</f>
        <v>0</v>
      </c>
    </row>
    <row r="40" spans="1:21" ht="24.75">
      <c r="B40" s="93" t="s">
        <v>108</v>
      </c>
      <c r="C40" s="93"/>
      <c r="D40" s="625">
        <v>226647783852</v>
      </c>
      <c r="E40" s="625"/>
      <c r="F40" s="625">
        <v>219833737481</v>
      </c>
      <c r="G40" s="299"/>
      <c r="H40" s="625">
        <v>4510743359</v>
      </c>
      <c r="I40" s="632"/>
      <c r="J40" s="632">
        <v>0</v>
      </c>
      <c r="K40" s="632"/>
      <c r="L40" s="299">
        <v>0</v>
      </c>
      <c r="M40" s="299"/>
      <c r="N40" s="299">
        <v>0</v>
      </c>
      <c r="O40" s="299"/>
      <c r="P40" s="299">
        <f t="shared" si="1"/>
        <v>224344480840</v>
      </c>
      <c r="Q40" s="299"/>
      <c r="R40" s="299">
        <f t="shared" si="2"/>
        <v>2303303012</v>
      </c>
    </row>
    <row r="41" spans="1:21" ht="24.75">
      <c r="B41" s="93" t="s">
        <v>564</v>
      </c>
      <c r="C41" s="93"/>
      <c r="D41" s="625">
        <v>4886281979</v>
      </c>
      <c r="E41" s="625"/>
      <c r="F41" s="625">
        <v>4886281979</v>
      </c>
      <c r="G41" s="299"/>
      <c r="H41" s="632">
        <v>0</v>
      </c>
      <c r="I41" s="632"/>
      <c r="J41" s="632">
        <v>0</v>
      </c>
      <c r="K41" s="632"/>
      <c r="L41" s="299">
        <v>0</v>
      </c>
      <c r="M41" s="299"/>
      <c r="N41" s="299">
        <v>0</v>
      </c>
      <c r="O41" s="299"/>
      <c r="P41" s="299">
        <f t="shared" si="1"/>
        <v>4886281979</v>
      </c>
      <c r="Q41" s="299"/>
      <c r="R41" s="299">
        <f t="shared" si="2"/>
        <v>0</v>
      </c>
    </row>
    <row r="42" spans="1:21" ht="24.75">
      <c r="B42" s="93" t="s">
        <v>587</v>
      </c>
      <c r="C42" s="93"/>
      <c r="D42" s="625">
        <v>116000000</v>
      </c>
      <c r="E42" s="625"/>
      <c r="F42" s="625">
        <v>116000000</v>
      </c>
      <c r="G42" s="299"/>
      <c r="H42" s="632">
        <v>0</v>
      </c>
      <c r="I42" s="632"/>
      <c r="J42" s="632">
        <v>0</v>
      </c>
      <c r="K42" s="632"/>
      <c r="L42" s="299">
        <v>0</v>
      </c>
      <c r="M42" s="299"/>
      <c r="N42" s="299">
        <v>0</v>
      </c>
      <c r="O42" s="299"/>
      <c r="P42" s="299">
        <f t="shared" si="1"/>
        <v>116000000</v>
      </c>
      <c r="Q42" s="299"/>
      <c r="R42" s="299">
        <f t="shared" si="2"/>
        <v>0</v>
      </c>
    </row>
    <row r="43" spans="1:21" ht="24.75">
      <c r="B43" s="93" t="s">
        <v>171</v>
      </c>
      <c r="C43" s="93"/>
      <c r="D43" s="625">
        <v>11634163388</v>
      </c>
      <c r="E43" s="625"/>
      <c r="F43" s="625">
        <v>11634163388</v>
      </c>
      <c r="G43" s="299"/>
      <c r="H43" s="632">
        <v>0</v>
      </c>
      <c r="I43" s="632"/>
      <c r="J43" s="632">
        <v>0</v>
      </c>
      <c r="K43" s="632"/>
      <c r="L43" s="299">
        <v>0</v>
      </c>
      <c r="M43" s="299"/>
      <c r="N43" s="299">
        <v>0</v>
      </c>
      <c r="O43" s="299"/>
      <c r="P43" s="299">
        <f t="shared" si="1"/>
        <v>11634163388</v>
      </c>
      <c r="Q43" s="299"/>
      <c r="R43" s="299">
        <f t="shared" si="2"/>
        <v>0</v>
      </c>
    </row>
    <row r="44" spans="1:21" ht="24.75">
      <c r="B44" s="93" t="s">
        <v>516</v>
      </c>
      <c r="C44" s="93"/>
      <c r="D44" s="625">
        <v>2946445309</v>
      </c>
      <c r="E44" s="625"/>
      <c r="F44" s="625">
        <v>2946445309</v>
      </c>
      <c r="G44" s="299"/>
      <c r="H44" s="632">
        <v>0</v>
      </c>
      <c r="I44" s="632"/>
      <c r="J44" s="632">
        <v>0</v>
      </c>
      <c r="K44" s="632"/>
      <c r="L44" s="299">
        <v>0</v>
      </c>
      <c r="M44" s="299"/>
      <c r="N44" s="299">
        <v>0</v>
      </c>
      <c r="O44" s="299"/>
      <c r="P44" s="299">
        <f t="shared" si="1"/>
        <v>2946445309</v>
      </c>
      <c r="Q44" s="299"/>
      <c r="R44" s="299">
        <f t="shared" si="2"/>
        <v>0</v>
      </c>
    </row>
    <row r="45" spans="1:21" ht="25.5" thickBot="1">
      <c r="B45" s="93"/>
      <c r="C45" s="93"/>
      <c r="D45" s="631">
        <f>SUM(D39:D44)</f>
        <v>249695814173</v>
      </c>
      <c r="E45" s="625"/>
      <c r="F45" s="631">
        <f>SUM(F39:F44)</f>
        <v>242881767802</v>
      </c>
      <c r="G45" s="299"/>
      <c r="H45" s="631">
        <f>SUM(H39:H44)</f>
        <v>4510743359</v>
      </c>
      <c r="I45" s="632"/>
      <c r="J45" s="631">
        <f>SUM(J39:J44)</f>
        <v>0</v>
      </c>
      <c r="K45" s="632"/>
      <c r="L45" s="631">
        <f>SUM(L39:L44)</f>
        <v>0</v>
      </c>
      <c r="M45" s="299"/>
      <c r="N45" s="631">
        <f>SUM(N39:N44)</f>
        <v>0</v>
      </c>
      <c r="O45" s="299"/>
      <c r="P45" s="631">
        <f>SUM(P39:P44)</f>
        <v>247392511161</v>
      </c>
      <c r="Q45" s="299"/>
      <c r="R45" s="631">
        <f>SUM(R39:R44)</f>
        <v>2303303012</v>
      </c>
    </row>
    <row r="46" spans="1:21" ht="21.75" thickTop="1"/>
  </sheetData>
  <mergeCells count="29">
    <mergeCell ref="B33:U33"/>
    <mergeCell ref="B32:T32"/>
    <mergeCell ref="B31:T31"/>
    <mergeCell ref="B14:T14"/>
    <mergeCell ref="B16:J16"/>
    <mergeCell ref="B17:J17"/>
    <mergeCell ref="A1:T1"/>
    <mergeCell ref="A2:T2"/>
    <mergeCell ref="A3:T3"/>
    <mergeCell ref="B4:H4"/>
    <mergeCell ref="D18:D20"/>
    <mergeCell ref="F18:P18"/>
    <mergeCell ref="R18:R20"/>
    <mergeCell ref="T18:T20"/>
    <mergeCell ref="F19:F20"/>
    <mergeCell ref="H19:J19"/>
    <mergeCell ref="L19:L20"/>
    <mergeCell ref="N19:N20"/>
    <mergeCell ref="P19:P20"/>
    <mergeCell ref="B34:J34"/>
    <mergeCell ref="D35:D37"/>
    <mergeCell ref="F35:P35"/>
    <mergeCell ref="R35:R37"/>
    <mergeCell ref="T35:T37"/>
    <mergeCell ref="F36:F37"/>
    <mergeCell ref="H36:J36"/>
    <mergeCell ref="L36:L37"/>
    <mergeCell ref="N36:N37"/>
    <mergeCell ref="P36:P37"/>
  </mergeCells>
  <pageMargins left="0.70866141732283505" right="0.70866141732283505" top="0.74803149606299202" bottom="0.74803149606299202" header="0.31496062992126" footer="0.31496062992126"/>
  <pageSetup scale="70" firstPageNumber="51" orientation="landscape" useFirstPageNumber="1" r:id="rId1"/>
  <headerFooter>
    <oddFooter>&amp;C&amp;"B Nazanin,Regular"&amp;14&amp;P</oddFooter>
  </headerFooter>
  <rowBreaks count="1" manualBreakCount="1">
    <brk id="28" max="2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rightToLeft="1" view="pageBreakPreview" topLeftCell="B17" zoomScaleNormal="130" zoomScaleSheetLayoutView="100" workbookViewId="0">
      <selection activeCell="B20" sqref="B20"/>
    </sheetView>
  </sheetViews>
  <sheetFormatPr defaultColWidth="9" defaultRowHeight="21"/>
  <cols>
    <col min="1" max="1" width="1.140625" style="1" customWidth="1"/>
    <col min="2" max="2" width="19.5703125" style="59" customWidth="1"/>
    <col min="3" max="3" width="0.28515625" style="1" customWidth="1"/>
    <col min="4" max="4" width="15.5703125" style="1" customWidth="1"/>
    <col min="5" max="5" width="0.42578125" style="1" customWidth="1"/>
    <col min="6" max="6" width="15.42578125" style="2" customWidth="1"/>
    <col min="7" max="7" width="0.42578125" style="2" customWidth="1"/>
    <col min="8" max="8" width="14.140625" style="1" customWidth="1"/>
    <col min="9" max="9" width="0.42578125" style="1" customWidth="1"/>
    <col min="10" max="10" width="8.28515625" style="1" customWidth="1"/>
    <col min="11" max="11" width="0.42578125" style="1" customWidth="1"/>
    <col min="12" max="12" width="8.28515625" style="1" customWidth="1"/>
    <col min="13" max="13" width="0.42578125" style="1" customWidth="1"/>
    <col min="14" max="14" width="8.28515625" style="1" customWidth="1"/>
    <col min="15" max="15" width="0.42578125" style="1" customWidth="1"/>
    <col min="16" max="16" width="7.85546875" style="1" customWidth="1"/>
    <col min="17" max="17" width="0.42578125" style="1" customWidth="1"/>
    <col min="18" max="18" width="14.28515625" style="1" customWidth="1"/>
    <col min="19" max="19" width="0.42578125" style="1" customWidth="1"/>
    <col min="20" max="20" width="14" style="1" customWidth="1"/>
    <col min="21" max="21" width="0.42578125" style="1" customWidth="1"/>
    <col min="22" max="22" width="16.85546875" style="1" customWidth="1"/>
    <col min="23" max="23" width="0.5703125" style="1" customWidth="1"/>
    <col min="24" max="24" width="15.5703125" style="1" bestFit="1" customWidth="1"/>
    <col min="25" max="16384" width="9" style="1"/>
  </cols>
  <sheetData>
    <row r="1" spans="1:25">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765"/>
      <c r="S1" s="765"/>
      <c r="T1" s="765"/>
      <c r="U1" s="765"/>
      <c r="V1" s="765"/>
      <c r="Y1" s="1" t="s">
        <v>934</v>
      </c>
    </row>
    <row r="2" spans="1:25" s="26" customFormat="1">
      <c r="A2" s="767" t="s">
        <v>33</v>
      </c>
      <c r="B2" s="767"/>
      <c r="C2" s="767"/>
      <c r="D2" s="767"/>
      <c r="E2" s="767"/>
      <c r="F2" s="767"/>
      <c r="G2" s="767"/>
      <c r="H2" s="767"/>
      <c r="I2" s="767"/>
      <c r="J2" s="767"/>
      <c r="K2" s="767"/>
      <c r="L2" s="767"/>
      <c r="M2" s="767"/>
      <c r="N2" s="767"/>
      <c r="O2" s="767"/>
      <c r="P2" s="767"/>
      <c r="Q2" s="767"/>
      <c r="R2" s="767"/>
      <c r="S2" s="767"/>
      <c r="T2" s="767"/>
      <c r="U2" s="767"/>
      <c r="V2" s="767"/>
    </row>
    <row r="3" spans="1:25">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c r="T3" s="767"/>
      <c r="U3" s="767"/>
      <c r="V3" s="767"/>
    </row>
    <row r="4" spans="1:25" ht="12" customHeight="1">
      <c r="A4" s="117"/>
      <c r="B4" s="117"/>
      <c r="C4" s="117"/>
      <c r="D4" s="117"/>
      <c r="E4" s="117"/>
      <c r="F4" s="117"/>
      <c r="G4" s="117"/>
      <c r="H4" s="117"/>
      <c r="I4" s="117"/>
      <c r="J4" s="117"/>
      <c r="K4" s="117"/>
      <c r="L4" s="117"/>
      <c r="M4" s="117"/>
      <c r="N4" s="117"/>
      <c r="O4" s="117"/>
      <c r="P4" s="117"/>
      <c r="Q4" s="117"/>
      <c r="R4" s="117"/>
      <c r="S4" s="117"/>
      <c r="T4" s="117"/>
      <c r="U4" s="117"/>
      <c r="V4" s="117"/>
    </row>
    <row r="5" spans="1:25" ht="21.75">
      <c r="A5" s="26"/>
      <c r="B5" s="927" t="s">
        <v>1409</v>
      </c>
      <c r="C5" s="927"/>
      <c r="D5" s="927"/>
      <c r="E5" s="927"/>
      <c r="F5" s="927"/>
      <c r="G5" s="927"/>
      <c r="H5" s="927"/>
      <c r="I5" s="927"/>
      <c r="J5" s="927"/>
      <c r="K5" s="927"/>
      <c r="L5" s="927"/>
    </row>
    <row r="6" spans="1:25">
      <c r="B6" s="93"/>
      <c r="C6" s="93"/>
      <c r="D6" s="842" t="s">
        <v>176</v>
      </c>
      <c r="E6" s="86"/>
      <c r="F6" s="902" t="s">
        <v>156</v>
      </c>
      <c r="G6" s="902"/>
      <c r="H6" s="902"/>
      <c r="I6" s="902"/>
      <c r="J6" s="902"/>
      <c r="K6" s="902"/>
      <c r="L6" s="902"/>
      <c r="M6" s="902"/>
      <c r="N6" s="902"/>
      <c r="O6" s="902"/>
      <c r="P6" s="902"/>
      <c r="Q6" s="902"/>
      <c r="R6" s="902"/>
      <c r="S6" s="31"/>
      <c r="T6" s="842" t="s">
        <v>157</v>
      </c>
      <c r="U6" s="31"/>
      <c r="V6" s="842"/>
      <c r="Y6" s="1">
        <v>4</v>
      </c>
    </row>
    <row r="7" spans="1:25">
      <c r="B7" s="93"/>
      <c r="C7" s="93"/>
      <c r="D7" s="842"/>
      <c r="E7" s="86"/>
      <c r="F7" s="919" t="s">
        <v>566</v>
      </c>
      <c r="G7" s="80"/>
      <c r="H7" s="920" t="s">
        <v>567</v>
      </c>
      <c r="I7" s="920"/>
      <c r="J7" s="920"/>
      <c r="K7" s="920"/>
      <c r="L7" s="920"/>
      <c r="M7" s="80"/>
      <c r="N7" s="921" t="s">
        <v>570</v>
      </c>
      <c r="O7" s="80"/>
      <c r="P7" s="923" t="s">
        <v>935</v>
      </c>
      <c r="Q7" s="80"/>
      <c r="R7" s="919" t="s">
        <v>24</v>
      </c>
      <c r="S7" s="31"/>
      <c r="T7" s="842"/>
      <c r="U7" s="31"/>
      <c r="V7" s="842"/>
    </row>
    <row r="8" spans="1:25">
      <c r="B8" s="93"/>
      <c r="C8" s="93"/>
      <c r="D8" s="843"/>
      <c r="E8" s="80"/>
      <c r="F8" s="843"/>
      <c r="H8" s="188" t="s">
        <v>568</v>
      </c>
      <c r="I8" s="2"/>
      <c r="J8" s="130" t="s">
        <v>569</v>
      </c>
      <c r="K8" s="2"/>
      <c r="L8" s="190" t="s">
        <v>573</v>
      </c>
      <c r="M8" s="2"/>
      <c r="N8" s="922"/>
      <c r="O8" s="2"/>
      <c r="P8" s="902"/>
      <c r="Q8" s="2"/>
      <c r="R8" s="843"/>
      <c r="S8" s="2"/>
      <c r="T8" s="843"/>
      <c r="U8" s="2"/>
      <c r="V8" s="842"/>
    </row>
    <row r="9" spans="1:25" ht="42">
      <c r="B9" s="93"/>
      <c r="C9" s="93"/>
      <c r="D9" s="58" t="s">
        <v>103</v>
      </c>
      <c r="E9" s="80"/>
      <c r="F9" s="58" t="s">
        <v>103</v>
      </c>
      <c r="H9" s="58" t="s">
        <v>103</v>
      </c>
      <c r="I9" s="31"/>
      <c r="J9" s="58" t="s">
        <v>103</v>
      </c>
      <c r="K9" s="31"/>
      <c r="L9" s="58" t="s">
        <v>103</v>
      </c>
      <c r="M9" s="31"/>
      <c r="N9" s="58" t="s">
        <v>103</v>
      </c>
      <c r="O9" s="2"/>
      <c r="P9" s="58" t="s">
        <v>103</v>
      </c>
      <c r="Q9" s="2"/>
      <c r="R9" s="58" t="s">
        <v>103</v>
      </c>
      <c r="S9" s="2"/>
      <c r="T9" s="58" t="s">
        <v>103</v>
      </c>
    </row>
    <row r="10" spans="1:25" ht="24.75">
      <c r="B10" s="93" t="s">
        <v>6</v>
      </c>
      <c r="C10" s="93"/>
      <c r="D10" s="632">
        <v>409481931592</v>
      </c>
      <c r="E10" s="632"/>
      <c r="F10" s="632">
        <v>196318646335</v>
      </c>
      <c r="G10" s="632"/>
      <c r="H10" s="632">
        <v>45970130008</v>
      </c>
      <c r="I10" s="632"/>
      <c r="J10" s="632">
        <v>0</v>
      </c>
      <c r="K10" s="632"/>
      <c r="L10" s="632">
        <v>0</v>
      </c>
      <c r="M10" s="632"/>
      <c r="N10" s="299">
        <v>0</v>
      </c>
      <c r="O10" s="299"/>
      <c r="P10" s="625"/>
      <c r="Q10" s="299"/>
      <c r="R10" s="625">
        <f>F10+H10+J10+P10</f>
        <v>242288776343</v>
      </c>
      <c r="S10" s="625"/>
      <c r="T10" s="625">
        <f>D10-R10</f>
        <v>167193155249</v>
      </c>
    </row>
    <row r="11" spans="1:25" ht="24.75">
      <c r="B11" s="93" t="s">
        <v>35</v>
      </c>
      <c r="C11" s="93"/>
      <c r="D11" s="632">
        <v>165595630565</v>
      </c>
      <c r="E11" s="632"/>
      <c r="F11" s="632">
        <v>114829337667</v>
      </c>
      <c r="G11" s="632"/>
      <c r="H11" s="632">
        <v>0</v>
      </c>
      <c r="I11" s="632"/>
      <c r="J11" s="632">
        <v>0</v>
      </c>
      <c r="K11" s="632"/>
      <c r="L11" s="632">
        <v>0</v>
      </c>
      <c r="M11" s="632"/>
      <c r="N11" s="299">
        <v>0</v>
      </c>
      <c r="O11" s="299"/>
      <c r="P11" s="299">
        <v>0</v>
      </c>
      <c r="Q11" s="299"/>
      <c r="R11" s="625">
        <f t="shared" ref="R11:R17" si="0">F11+H11+J11</f>
        <v>114829337667</v>
      </c>
      <c r="S11" s="625"/>
      <c r="T11" s="625">
        <f>D11-R11</f>
        <v>50766292898</v>
      </c>
    </row>
    <row r="12" spans="1:25" ht="24.75" hidden="1">
      <c r="B12" s="93" t="s">
        <v>572</v>
      </c>
      <c r="C12" s="93"/>
      <c r="D12" s="625">
        <v>0</v>
      </c>
      <c r="E12" s="625"/>
      <c r="F12" s="625">
        <v>0</v>
      </c>
      <c r="G12" s="299"/>
      <c r="H12" s="632">
        <v>0</v>
      </c>
      <c r="I12" s="632"/>
      <c r="J12" s="632">
        <v>0</v>
      </c>
      <c r="K12" s="632"/>
      <c r="L12" s="632">
        <v>0</v>
      </c>
      <c r="M12" s="632"/>
      <c r="N12" s="299">
        <v>0</v>
      </c>
      <c r="O12" s="299"/>
      <c r="P12" s="299">
        <v>0</v>
      </c>
      <c r="Q12" s="299"/>
      <c r="R12" s="299">
        <f t="shared" si="0"/>
        <v>0</v>
      </c>
      <c r="S12" s="299"/>
      <c r="T12" s="299">
        <f t="shared" ref="T12:T17" si="1">D12-R12</f>
        <v>0</v>
      </c>
    </row>
    <row r="13" spans="1:25" ht="24.75" hidden="1">
      <c r="B13" s="93" t="s">
        <v>110</v>
      </c>
      <c r="C13" s="93"/>
      <c r="D13" s="625">
        <v>0</v>
      </c>
      <c r="E13" s="625"/>
      <c r="F13" s="625">
        <v>0</v>
      </c>
      <c r="G13" s="299"/>
      <c r="H13" s="632">
        <v>0</v>
      </c>
      <c r="I13" s="632"/>
      <c r="J13" s="632">
        <v>0</v>
      </c>
      <c r="K13" s="632"/>
      <c r="L13" s="632">
        <v>0</v>
      </c>
      <c r="M13" s="632"/>
      <c r="N13" s="299">
        <v>0</v>
      </c>
      <c r="O13" s="299"/>
      <c r="P13" s="299">
        <v>0</v>
      </c>
      <c r="Q13" s="299"/>
      <c r="R13" s="299">
        <f t="shared" si="0"/>
        <v>0</v>
      </c>
      <c r="S13" s="299"/>
      <c r="T13" s="299">
        <f t="shared" si="1"/>
        <v>0</v>
      </c>
    </row>
    <row r="14" spans="1:25" ht="24.75" hidden="1">
      <c r="B14" s="93" t="s">
        <v>7</v>
      </c>
      <c r="C14" s="93"/>
      <c r="D14" s="625">
        <v>0</v>
      </c>
      <c r="E14" s="625"/>
      <c r="F14" s="625">
        <v>0</v>
      </c>
      <c r="G14" s="299"/>
      <c r="H14" s="632">
        <v>0</v>
      </c>
      <c r="I14" s="632"/>
      <c r="J14" s="632">
        <v>0</v>
      </c>
      <c r="K14" s="632"/>
      <c r="L14" s="632">
        <v>0</v>
      </c>
      <c r="M14" s="632"/>
      <c r="N14" s="299">
        <v>0</v>
      </c>
      <c r="O14" s="299"/>
      <c r="P14" s="299">
        <v>0</v>
      </c>
      <c r="Q14" s="299"/>
      <c r="R14" s="299">
        <f t="shared" si="0"/>
        <v>0</v>
      </c>
      <c r="S14" s="299"/>
      <c r="T14" s="299">
        <f t="shared" si="1"/>
        <v>0</v>
      </c>
    </row>
    <row r="15" spans="1:25" ht="24.75" hidden="1">
      <c r="B15" s="93" t="s">
        <v>36</v>
      </c>
      <c r="C15" s="93"/>
      <c r="D15" s="625">
        <v>0</v>
      </c>
      <c r="E15" s="625"/>
      <c r="F15" s="625">
        <v>0</v>
      </c>
      <c r="G15" s="299"/>
      <c r="H15" s="632">
        <v>0</v>
      </c>
      <c r="I15" s="632"/>
      <c r="J15" s="632">
        <v>0</v>
      </c>
      <c r="K15" s="632"/>
      <c r="L15" s="632">
        <v>0</v>
      </c>
      <c r="M15" s="632"/>
      <c r="N15" s="299">
        <v>0</v>
      </c>
      <c r="O15" s="299"/>
      <c r="P15" s="299">
        <v>0</v>
      </c>
      <c r="Q15" s="299"/>
      <c r="R15" s="299">
        <f t="shared" si="0"/>
        <v>0</v>
      </c>
      <c r="S15" s="299"/>
      <c r="T15" s="299">
        <f t="shared" si="1"/>
        <v>0</v>
      </c>
    </row>
    <row r="16" spans="1:25" ht="24.75" hidden="1">
      <c r="B16" s="93" t="s">
        <v>111</v>
      </c>
      <c r="C16" s="93"/>
      <c r="D16" s="625">
        <v>0</v>
      </c>
      <c r="E16" s="625"/>
      <c r="F16" s="625">
        <v>0</v>
      </c>
      <c r="G16" s="299"/>
      <c r="H16" s="632">
        <v>0</v>
      </c>
      <c r="I16" s="632"/>
      <c r="J16" s="632">
        <v>0</v>
      </c>
      <c r="K16" s="632"/>
      <c r="L16" s="632">
        <v>0</v>
      </c>
      <c r="M16" s="632"/>
      <c r="N16" s="299">
        <v>0</v>
      </c>
      <c r="O16" s="299"/>
      <c r="P16" s="299">
        <v>0</v>
      </c>
      <c r="Q16" s="299"/>
      <c r="R16" s="299">
        <f t="shared" si="0"/>
        <v>0</v>
      </c>
      <c r="S16" s="299"/>
      <c r="T16" s="299">
        <f t="shared" si="1"/>
        <v>0</v>
      </c>
    </row>
    <row r="17" spans="1:22" ht="25.5" thickBot="1">
      <c r="B17" s="93"/>
      <c r="C17" s="93"/>
      <c r="D17" s="631">
        <f>SUM(D10:D16)</f>
        <v>575077562157</v>
      </c>
      <c r="E17" s="625"/>
      <c r="F17" s="631">
        <f>SUM(F10:F16)</f>
        <v>311147984002</v>
      </c>
      <c r="G17" s="299"/>
      <c r="H17" s="631">
        <f>SUM(H10:H16)</f>
        <v>45970130008</v>
      </c>
      <c r="I17" s="632"/>
      <c r="J17" s="631">
        <f>SUM(J10:J16)</f>
        <v>0</v>
      </c>
      <c r="K17" s="632"/>
      <c r="L17" s="631">
        <f>SUM(L10:L16)</f>
        <v>0</v>
      </c>
      <c r="M17" s="632"/>
      <c r="N17" s="631">
        <f>SUM(N10:N16)</f>
        <v>0</v>
      </c>
      <c r="O17" s="299"/>
      <c r="P17" s="631">
        <f>SUM(P10:P16)</f>
        <v>0</v>
      </c>
      <c r="Q17" s="299"/>
      <c r="R17" s="631">
        <f t="shared" si="0"/>
        <v>357118114010</v>
      </c>
      <c r="S17" s="299"/>
      <c r="T17" s="631">
        <f t="shared" si="1"/>
        <v>217959448147</v>
      </c>
    </row>
    <row r="18" spans="1:22" ht="21.75" thickTop="1">
      <c r="D18" s="307"/>
      <c r="E18" s="307"/>
      <c r="F18" s="303"/>
      <c r="G18" s="303"/>
      <c r="H18" s="307"/>
      <c r="I18" s="307"/>
      <c r="J18" s="307"/>
      <c r="K18" s="307"/>
      <c r="L18" s="307"/>
      <c r="M18" s="307"/>
      <c r="N18" s="307"/>
      <c r="O18" s="307"/>
      <c r="P18" s="307"/>
      <c r="Q18" s="307"/>
      <c r="R18" s="307"/>
      <c r="S18" s="307"/>
      <c r="T18" s="307"/>
    </row>
    <row r="19" spans="1:22" ht="21.75">
      <c r="A19" s="26"/>
      <c r="B19" s="927" t="s">
        <v>1410</v>
      </c>
      <c r="C19" s="927"/>
      <c r="D19" s="927"/>
      <c r="E19" s="927"/>
      <c r="F19" s="927"/>
      <c r="G19" s="927"/>
      <c r="H19" s="927"/>
      <c r="I19" s="927"/>
      <c r="J19" s="927"/>
      <c r="K19" s="927"/>
      <c r="L19" s="927"/>
    </row>
    <row r="20" spans="1:22">
      <c r="B20" s="93"/>
      <c r="C20" s="93"/>
      <c r="D20" s="842" t="s">
        <v>176</v>
      </c>
      <c r="E20" s="86"/>
      <c r="F20" s="902" t="s">
        <v>156</v>
      </c>
      <c r="G20" s="902"/>
      <c r="H20" s="902"/>
      <c r="I20" s="902"/>
      <c r="J20" s="902"/>
      <c r="K20" s="902"/>
      <c r="L20" s="902"/>
      <c r="M20" s="902"/>
      <c r="N20" s="902"/>
      <c r="O20" s="902"/>
      <c r="P20" s="902"/>
      <c r="Q20" s="902"/>
      <c r="R20" s="902"/>
      <c r="S20" s="31"/>
      <c r="T20" s="842" t="s">
        <v>157</v>
      </c>
      <c r="U20" s="31"/>
      <c r="V20" s="842"/>
    </row>
    <row r="21" spans="1:22">
      <c r="B21" s="93"/>
      <c r="C21" s="93"/>
      <c r="D21" s="842"/>
      <c r="E21" s="86"/>
      <c r="F21" s="919" t="s">
        <v>566</v>
      </c>
      <c r="G21" s="80"/>
      <c r="H21" s="920" t="s">
        <v>567</v>
      </c>
      <c r="I21" s="920"/>
      <c r="J21" s="920"/>
      <c r="K21" s="920"/>
      <c r="L21" s="920"/>
      <c r="M21" s="80"/>
      <c r="N21" s="921" t="s">
        <v>570</v>
      </c>
      <c r="O21" s="80"/>
      <c r="P21" s="923" t="s">
        <v>571</v>
      </c>
      <c r="Q21" s="80"/>
      <c r="R21" s="919" t="s">
        <v>24</v>
      </c>
      <c r="S21" s="31"/>
      <c r="T21" s="842"/>
      <c r="U21" s="31"/>
      <c r="V21" s="842"/>
    </row>
    <row r="22" spans="1:22">
      <c r="B22" s="93"/>
      <c r="C22" s="93"/>
      <c r="D22" s="843"/>
      <c r="E22" s="80"/>
      <c r="F22" s="843"/>
      <c r="H22" s="188" t="s">
        <v>568</v>
      </c>
      <c r="I22" s="2"/>
      <c r="J22" s="130" t="s">
        <v>569</v>
      </c>
      <c r="K22" s="2"/>
      <c r="L22" s="190" t="s">
        <v>573</v>
      </c>
      <c r="M22" s="2"/>
      <c r="N22" s="922"/>
      <c r="O22" s="2"/>
      <c r="P22" s="902"/>
      <c r="Q22" s="2"/>
      <c r="R22" s="843"/>
      <c r="S22" s="2"/>
      <c r="T22" s="843"/>
      <c r="U22" s="2"/>
      <c r="V22" s="842"/>
    </row>
    <row r="23" spans="1:22" ht="42">
      <c r="B23" s="93"/>
      <c r="C23" s="93"/>
      <c r="D23" s="58" t="s">
        <v>103</v>
      </c>
      <c r="E23" s="80"/>
      <c r="F23" s="58" t="s">
        <v>103</v>
      </c>
      <c r="H23" s="58" t="s">
        <v>103</v>
      </c>
      <c r="I23" s="31"/>
      <c r="J23" s="58" t="s">
        <v>103</v>
      </c>
      <c r="K23" s="31"/>
      <c r="L23" s="58" t="s">
        <v>103</v>
      </c>
      <c r="M23" s="31"/>
      <c r="N23" s="58" t="s">
        <v>103</v>
      </c>
      <c r="O23" s="2"/>
      <c r="P23" s="58" t="s">
        <v>103</v>
      </c>
      <c r="Q23" s="2"/>
      <c r="R23" s="58" t="s">
        <v>103</v>
      </c>
      <c r="S23" s="2"/>
      <c r="T23" s="58" t="s">
        <v>103</v>
      </c>
    </row>
    <row r="24" spans="1:22" ht="24.75">
      <c r="B24" s="93" t="s">
        <v>6</v>
      </c>
      <c r="C24" s="93"/>
      <c r="D24" s="625">
        <v>85000000000</v>
      </c>
      <c r="E24" s="625"/>
      <c r="F24" s="625">
        <v>82228725000</v>
      </c>
      <c r="G24" s="299"/>
      <c r="H24" s="632">
        <v>836750000</v>
      </c>
      <c r="I24" s="632"/>
      <c r="J24" s="632">
        <v>0</v>
      </c>
      <c r="K24" s="632"/>
      <c r="L24" s="632">
        <v>0</v>
      </c>
      <c r="M24" s="632"/>
      <c r="N24" s="299">
        <v>0</v>
      </c>
      <c r="O24" s="299"/>
      <c r="P24" s="299">
        <v>0</v>
      </c>
      <c r="Q24" s="299"/>
      <c r="R24" s="632">
        <f>F24+H24+J24</f>
        <v>83065475000</v>
      </c>
      <c r="S24" s="299"/>
      <c r="T24" s="632">
        <v>1934525000</v>
      </c>
    </row>
    <row r="25" spans="1:22" ht="24.75" hidden="1">
      <c r="B25" s="93" t="s">
        <v>35</v>
      </c>
      <c r="C25" s="93"/>
      <c r="D25" s="625">
        <v>0</v>
      </c>
      <c r="E25" s="625"/>
      <c r="F25" s="625">
        <v>0</v>
      </c>
      <c r="G25" s="299"/>
      <c r="H25" s="632">
        <v>0</v>
      </c>
      <c r="I25" s="632"/>
      <c r="J25" s="632">
        <v>0</v>
      </c>
      <c r="K25" s="632"/>
      <c r="L25" s="632">
        <v>0</v>
      </c>
      <c r="M25" s="632"/>
      <c r="N25" s="299">
        <v>0</v>
      </c>
      <c r="O25" s="299"/>
      <c r="P25" s="299">
        <v>0</v>
      </c>
      <c r="Q25" s="299"/>
      <c r="R25" s="299">
        <v>0</v>
      </c>
      <c r="S25" s="299"/>
      <c r="T25" s="299">
        <v>0</v>
      </c>
    </row>
    <row r="26" spans="1:22" ht="24.75" hidden="1">
      <c r="B26" s="93" t="s">
        <v>572</v>
      </c>
      <c r="C26" s="93"/>
      <c r="D26" s="625">
        <v>0</v>
      </c>
      <c r="E26" s="625"/>
      <c r="F26" s="625">
        <v>0</v>
      </c>
      <c r="G26" s="299"/>
      <c r="H26" s="632">
        <v>0</v>
      </c>
      <c r="I26" s="632"/>
      <c r="J26" s="632">
        <v>0</v>
      </c>
      <c r="K26" s="632"/>
      <c r="L26" s="632">
        <v>0</v>
      </c>
      <c r="M26" s="632"/>
      <c r="N26" s="299">
        <v>0</v>
      </c>
      <c r="O26" s="299"/>
      <c r="P26" s="299">
        <v>0</v>
      </c>
      <c r="Q26" s="299"/>
      <c r="R26" s="299">
        <v>0</v>
      </c>
      <c r="S26" s="299"/>
      <c r="T26" s="299">
        <v>0</v>
      </c>
    </row>
    <row r="27" spans="1:22" ht="24.75" hidden="1">
      <c r="B27" s="93" t="s">
        <v>110</v>
      </c>
      <c r="C27" s="93"/>
      <c r="D27" s="625">
        <v>0</v>
      </c>
      <c r="E27" s="625"/>
      <c r="F27" s="625">
        <v>0</v>
      </c>
      <c r="G27" s="299"/>
      <c r="H27" s="632">
        <v>0</v>
      </c>
      <c r="I27" s="632"/>
      <c r="J27" s="632">
        <v>0</v>
      </c>
      <c r="K27" s="632"/>
      <c r="L27" s="632">
        <v>0</v>
      </c>
      <c r="M27" s="632"/>
      <c r="N27" s="299">
        <v>0</v>
      </c>
      <c r="O27" s="299"/>
      <c r="P27" s="299">
        <v>0</v>
      </c>
      <c r="Q27" s="299"/>
      <c r="R27" s="299">
        <v>0</v>
      </c>
      <c r="S27" s="299"/>
      <c r="T27" s="299">
        <v>0</v>
      </c>
    </row>
    <row r="28" spans="1:22" ht="24.75" hidden="1">
      <c r="B28" s="93" t="s">
        <v>7</v>
      </c>
      <c r="C28" s="93"/>
      <c r="D28" s="625">
        <v>0</v>
      </c>
      <c r="E28" s="625"/>
      <c r="F28" s="625">
        <v>0</v>
      </c>
      <c r="G28" s="299"/>
      <c r="H28" s="632">
        <v>0</v>
      </c>
      <c r="I28" s="632"/>
      <c r="J28" s="632">
        <v>0</v>
      </c>
      <c r="K28" s="632"/>
      <c r="L28" s="632">
        <v>0</v>
      </c>
      <c r="M28" s="632"/>
      <c r="N28" s="299">
        <v>0</v>
      </c>
      <c r="O28" s="299"/>
      <c r="P28" s="299">
        <v>0</v>
      </c>
      <c r="Q28" s="299"/>
      <c r="R28" s="299">
        <v>0</v>
      </c>
      <c r="S28" s="299"/>
      <c r="T28" s="299">
        <v>0</v>
      </c>
    </row>
    <row r="29" spans="1:22" ht="24.75" hidden="1">
      <c r="B29" s="93" t="s">
        <v>36</v>
      </c>
      <c r="C29" s="93"/>
      <c r="D29" s="625">
        <v>0</v>
      </c>
      <c r="E29" s="625"/>
      <c r="F29" s="625">
        <v>0</v>
      </c>
      <c r="G29" s="299"/>
      <c r="H29" s="632">
        <v>0</v>
      </c>
      <c r="I29" s="632"/>
      <c r="J29" s="632">
        <v>0</v>
      </c>
      <c r="K29" s="632"/>
      <c r="L29" s="632">
        <v>0</v>
      </c>
      <c r="M29" s="632"/>
      <c r="N29" s="299">
        <v>0</v>
      </c>
      <c r="O29" s="299"/>
      <c r="P29" s="299">
        <v>0</v>
      </c>
      <c r="Q29" s="299"/>
      <c r="R29" s="299">
        <v>0</v>
      </c>
      <c r="S29" s="299"/>
      <c r="T29" s="299">
        <v>0</v>
      </c>
    </row>
    <row r="30" spans="1:22" ht="24.75" hidden="1">
      <c r="B30" s="93" t="s">
        <v>111</v>
      </c>
      <c r="C30" s="93"/>
      <c r="D30" s="625">
        <v>0</v>
      </c>
      <c r="E30" s="625"/>
      <c r="F30" s="625">
        <v>0</v>
      </c>
      <c r="G30" s="299"/>
      <c r="H30" s="632">
        <v>0</v>
      </c>
      <c r="I30" s="632"/>
      <c r="J30" s="632">
        <v>0</v>
      </c>
      <c r="K30" s="632"/>
      <c r="L30" s="632">
        <v>0</v>
      </c>
      <c r="M30" s="632"/>
      <c r="N30" s="299">
        <v>0</v>
      </c>
      <c r="O30" s="299"/>
      <c r="P30" s="299">
        <v>0</v>
      </c>
      <c r="Q30" s="299"/>
      <c r="R30" s="299">
        <v>0</v>
      </c>
      <c r="S30" s="299"/>
      <c r="T30" s="299">
        <v>0</v>
      </c>
    </row>
    <row r="31" spans="1:22" ht="25.5" thickBot="1">
      <c r="B31" s="93"/>
      <c r="C31" s="93"/>
      <c r="D31" s="631">
        <f>SUM(D24:D30)</f>
        <v>85000000000</v>
      </c>
      <c r="E31" s="625"/>
      <c r="F31" s="631">
        <f>SUM(F24:F30)</f>
        <v>82228725000</v>
      </c>
      <c r="G31" s="299"/>
      <c r="H31" s="631">
        <f>SUM(H24:H30)</f>
        <v>836750000</v>
      </c>
      <c r="I31" s="632"/>
      <c r="J31" s="631">
        <f>SUM(J24:J30)</f>
        <v>0</v>
      </c>
      <c r="K31" s="632"/>
      <c r="L31" s="631">
        <f>SUM(L24:L30)</f>
        <v>0</v>
      </c>
      <c r="M31" s="632"/>
      <c r="N31" s="631">
        <f>SUM(N24:N30)</f>
        <v>0</v>
      </c>
      <c r="O31" s="299"/>
      <c r="P31" s="631">
        <f>SUM(P24:P30)</f>
        <v>0</v>
      </c>
      <c r="Q31" s="299"/>
      <c r="R31" s="631">
        <f>SUM(R24:R30)</f>
        <v>83065475000</v>
      </c>
      <c r="S31" s="299"/>
      <c r="T31" s="631">
        <f>SUM(T24:T30)</f>
        <v>1934525000</v>
      </c>
    </row>
    <row r="32" spans="1:22" ht="21.75" thickTop="1"/>
  </sheetData>
  <mergeCells count="23">
    <mergeCell ref="A1:V1"/>
    <mergeCell ref="A2:V2"/>
    <mergeCell ref="A3:V3"/>
    <mergeCell ref="D6:D8"/>
    <mergeCell ref="F6:R6"/>
    <mergeCell ref="T6:T8"/>
    <mergeCell ref="V6:V8"/>
    <mergeCell ref="F7:F8"/>
    <mergeCell ref="N7:N8"/>
    <mergeCell ref="P7:P8"/>
    <mergeCell ref="R7:R8"/>
    <mergeCell ref="H7:L7"/>
    <mergeCell ref="B5:L5"/>
    <mergeCell ref="B19:L19"/>
    <mergeCell ref="D20:D22"/>
    <mergeCell ref="F20:R20"/>
    <mergeCell ref="T20:T22"/>
    <mergeCell ref="V20:V22"/>
    <mergeCell ref="F21:F22"/>
    <mergeCell ref="N21:N22"/>
    <mergeCell ref="P21:P22"/>
    <mergeCell ref="R21:R22"/>
    <mergeCell ref="H21:L21"/>
  </mergeCells>
  <pageMargins left="0.70866141732283505" right="0.70866141732283505" top="0.74803149606299202" bottom="0.74803149606299202" header="0.31496062992126" footer="0.31496062992126"/>
  <pageSetup scale="75" firstPageNumber="53" orientation="landscape" useFirstPageNumber="1" r:id="rId1"/>
  <headerFooter>
    <oddFooter>&amp;C&amp;"B Nazanin,Regular"&amp;14&amp;P</oddFooter>
  </headerFooter>
  <colBreaks count="1" manualBreakCount="1">
    <brk id="20"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rightToLeft="1" view="pageBreakPreview" zoomScaleNormal="140" zoomScaleSheetLayoutView="100" workbookViewId="0">
      <selection activeCell="B5" sqref="B5"/>
    </sheetView>
  </sheetViews>
  <sheetFormatPr defaultColWidth="9" defaultRowHeight="21"/>
  <cols>
    <col min="1" max="1" width="1.140625" style="1" customWidth="1"/>
    <col min="2" max="2" width="19.5703125" style="59" customWidth="1"/>
    <col min="3" max="3" width="0.28515625" style="1" customWidth="1"/>
    <col min="4" max="4" width="7.85546875" style="1" customWidth="1"/>
    <col min="5" max="5" width="0.42578125" style="1" customWidth="1"/>
    <col min="6" max="6" width="7.85546875" style="2" customWidth="1"/>
    <col min="7" max="7" width="0.42578125" style="2" customWidth="1"/>
    <col min="8" max="8" width="7.85546875" style="1" customWidth="1"/>
    <col min="9" max="9" width="0.42578125" style="1" customWidth="1"/>
    <col min="10" max="10" width="9.42578125" style="1" customWidth="1"/>
    <col min="11" max="11" width="0.28515625" style="1" customWidth="1"/>
    <col min="12" max="12" width="7.85546875" style="1" customWidth="1"/>
    <col min="13" max="13" width="0.42578125" style="1" customWidth="1"/>
    <col min="14" max="14" width="9.140625" style="1" customWidth="1"/>
    <col min="15" max="15" width="0.42578125" style="1" customWidth="1"/>
    <col min="16" max="16" width="7.85546875" style="1" customWidth="1"/>
    <col min="17" max="17" width="0.42578125" style="1" customWidth="1"/>
    <col min="18" max="18" width="11.85546875" style="1" customWidth="1"/>
    <col min="19" max="22" width="8.7109375" style="1" customWidth="1"/>
    <col min="23" max="16384" width="9" style="1"/>
  </cols>
  <sheetData>
    <row r="1" spans="1:20" ht="21.75" customHeight="1">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765"/>
      <c r="S1" s="765"/>
      <c r="T1" s="765"/>
    </row>
    <row r="2" spans="1:20" s="26" customFormat="1">
      <c r="A2" s="767" t="s">
        <v>33</v>
      </c>
      <c r="B2" s="767"/>
      <c r="C2" s="767"/>
      <c r="D2" s="767"/>
      <c r="E2" s="767"/>
      <c r="F2" s="767"/>
      <c r="G2" s="767"/>
      <c r="H2" s="767"/>
      <c r="I2" s="767"/>
      <c r="J2" s="767"/>
      <c r="K2" s="767"/>
      <c r="L2" s="767"/>
      <c r="M2" s="767"/>
      <c r="N2" s="767"/>
      <c r="O2" s="767"/>
      <c r="P2" s="767"/>
      <c r="Q2" s="767"/>
      <c r="R2" s="767"/>
      <c r="S2" s="767"/>
      <c r="T2" s="767"/>
    </row>
    <row r="3" spans="1:20">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c r="T3" s="767"/>
    </row>
    <row r="4" spans="1:20" ht="18" customHeight="1">
      <c r="A4" s="26"/>
      <c r="B4" s="901" t="s">
        <v>1411</v>
      </c>
      <c r="C4" s="901"/>
      <c r="D4" s="901"/>
      <c r="E4" s="901"/>
      <c r="F4" s="901"/>
      <c r="G4" s="901"/>
      <c r="H4" s="901"/>
      <c r="I4" s="901"/>
      <c r="J4" s="901"/>
      <c r="K4" s="901"/>
      <c r="L4" s="901"/>
      <c r="M4" s="901"/>
      <c r="N4" s="901"/>
      <c r="O4" s="901"/>
      <c r="P4" s="901"/>
      <c r="Q4" s="901"/>
      <c r="R4" s="901"/>
    </row>
    <row r="5" spans="1:20" ht="58.5" customHeight="1">
      <c r="H5" s="845" t="s">
        <v>561</v>
      </c>
      <c r="I5" s="845"/>
      <c r="J5" s="845"/>
      <c r="L5" s="803" t="s">
        <v>177</v>
      </c>
      <c r="M5" s="803"/>
      <c r="N5" s="803"/>
      <c r="P5" s="845" t="s">
        <v>156</v>
      </c>
      <c r="Q5" s="845"/>
      <c r="R5" s="845"/>
    </row>
    <row r="6" spans="1:20">
      <c r="H6" s="928" t="s">
        <v>103</v>
      </c>
      <c r="I6" s="928"/>
      <c r="J6" s="928"/>
      <c r="L6" s="928" t="s">
        <v>103</v>
      </c>
      <c r="M6" s="928"/>
      <c r="N6" s="928"/>
      <c r="P6" s="928" t="s">
        <v>103</v>
      </c>
      <c r="Q6" s="928"/>
      <c r="R6" s="928"/>
    </row>
    <row r="7" spans="1:20" ht="24.75">
      <c r="B7" s="77" t="s">
        <v>128</v>
      </c>
      <c r="H7" s="910">
        <f>'صورت تغییرات در وضعیت مالی'!E19</f>
        <v>7445547610249</v>
      </c>
      <c r="I7" s="910"/>
      <c r="J7" s="910"/>
      <c r="K7" s="633"/>
      <c r="L7" s="910">
        <f>P7-H7</f>
        <v>528251881167</v>
      </c>
      <c r="M7" s="910"/>
      <c r="N7" s="910"/>
      <c r="O7" s="633"/>
      <c r="P7" s="910">
        <f>'40-1'!P9+'40-1'!P23</f>
        <v>7973799491416</v>
      </c>
      <c r="Q7" s="910"/>
      <c r="R7" s="910"/>
    </row>
    <row r="8" spans="1:20" ht="24.75">
      <c r="B8" s="77" t="s">
        <v>108</v>
      </c>
      <c r="H8" s="910">
        <f>'صورت تغییرات در وضعیت مالی'!E20</f>
        <v>7423403763776</v>
      </c>
      <c r="I8" s="910"/>
      <c r="J8" s="910"/>
      <c r="K8" s="633"/>
      <c r="L8" s="910">
        <f t="shared" ref="L8:L13" si="0">P8-H8</f>
        <v>-3093002538112</v>
      </c>
      <c r="M8" s="910"/>
      <c r="N8" s="910"/>
      <c r="O8" s="633"/>
      <c r="P8" s="910">
        <f>'40-1'!P10+'40-1'!P24</f>
        <v>4330401225664</v>
      </c>
      <c r="Q8" s="910"/>
      <c r="R8" s="910"/>
    </row>
    <row r="9" spans="1:20" ht="24.75">
      <c r="B9" s="77" t="s">
        <v>564</v>
      </c>
      <c r="H9" s="910">
        <f>'صورت تغییرات در وضعیت مالی'!E21</f>
        <v>54740842884</v>
      </c>
      <c r="I9" s="910"/>
      <c r="J9" s="910"/>
      <c r="K9" s="633"/>
      <c r="L9" s="910">
        <f t="shared" si="0"/>
        <v>10920768422</v>
      </c>
      <c r="M9" s="910"/>
      <c r="N9" s="910"/>
      <c r="O9" s="633"/>
      <c r="P9" s="910">
        <f>'40-1'!P11+'40-1'!P25</f>
        <v>65661611306</v>
      </c>
      <c r="Q9" s="910"/>
      <c r="R9" s="910"/>
    </row>
    <row r="10" spans="1:20" ht="21" hidden="1" customHeight="1">
      <c r="B10" s="77" t="s">
        <v>565</v>
      </c>
      <c r="H10" s="910">
        <v>0</v>
      </c>
      <c r="I10" s="910"/>
      <c r="J10" s="910"/>
      <c r="K10" s="633"/>
      <c r="L10" s="910">
        <v>0</v>
      </c>
      <c r="M10" s="910"/>
      <c r="N10" s="910"/>
      <c r="O10" s="633"/>
      <c r="P10" s="910">
        <f>'40-1'!P12+'40-1'!P26</f>
        <v>0</v>
      </c>
      <c r="Q10" s="910"/>
      <c r="R10" s="910"/>
    </row>
    <row r="11" spans="1:20" ht="24.75">
      <c r="B11" s="77" t="s">
        <v>109</v>
      </c>
      <c r="H11" s="910">
        <f>'صورت تغییرات در وضعیت مالی'!E22</f>
        <v>15004473556</v>
      </c>
      <c r="I11" s="910"/>
      <c r="J11" s="910"/>
      <c r="K11" s="633"/>
      <c r="L11" s="910">
        <f t="shared" si="0"/>
        <v>-14004473556</v>
      </c>
      <c r="M11" s="910"/>
      <c r="N11" s="910"/>
      <c r="O11" s="633"/>
      <c r="P11" s="910">
        <f>'40-1'!P13+'40-1'!P27</f>
        <v>1000000000</v>
      </c>
      <c r="Q11" s="910"/>
      <c r="R11" s="910"/>
    </row>
    <row r="12" spans="1:20" ht="24.75">
      <c r="B12" s="77" t="s">
        <v>171</v>
      </c>
      <c r="H12" s="910">
        <f>'صورت تغییرات در وضعیت مالی'!E23</f>
        <v>1783895351107</v>
      </c>
      <c r="I12" s="910"/>
      <c r="J12" s="910"/>
      <c r="K12" s="633"/>
      <c r="L12" s="910">
        <f t="shared" si="0"/>
        <v>102824144547</v>
      </c>
      <c r="M12" s="910"/>
      <c r="N12" s="910"/>
      <c r="O12" s="633"/>
      <c r="P12" s="910">
        <f>'40-1'!P14+'40-1'!P28</f>
        <v>1886719495654</v>
      </c>
      <c r="Q12" s="910"/>
      <c r="R12" s="910"/>
    </row>
    <row r="13" spans="1:20" ht="24.75">
      <c r="B13" s="77" t="s">
        <v>516</v>
      </c>
      <c r="H13" s="910">
        <f>'صورت تغییرات در وضعیت مالی'!E24</f>
        <v>1847962914408</v>
      </c>
      <c r="I13" s="910"/>
      <c r="J13" s="910"/>
      <c r="K13" s="633"/>
      <c r="L13" s="910">
        <f t="shared" si="0"/>
        <v>-1507308430633</v>
      </c>
      <c r="M13" s="910"/>
      <c r="N13" s="910"/>
      <c r="O13" s="633"/>
      <c r="P13" s="910">
        <f>'40-1'!P15+'40-1'!P29</f>
        <v>340654483775</v>
      </c>
      <c r="Q13" s="910"/>
      <c r="R13" s="910"/>
    </row>
    <row r="14" spans="1:20" ht="25.5" thickBot="1">
      <c r="H14" s="911">
        <f>SUM(H7:J13)</f>
        <v>18570554955980</v>
      </c>
      <c r="I14" s="911"/>
      <c r="J14" s="911"/>
      <c r="K14" s="633"/>
      <c r="L14" s="911">
        <f>SUM(L7:N13)</f>
        <v>-3972318648165</v>
      </c>
      <c r="M14" s="911"/>
      <c r="N14" s="911"/>
      <c r="O14" s="633"/>
      <c r="P14" s="911">
        <f>SUM(P7:R13)</f>
        <v>14598236307815</v>
      </c>
      <c r="Q14" s="911"/>
      <c r="R14" s="911"/>
    </row>
    <row r="15" spans="1:20" ht="21.75" thickTop="1">
      <c r="H15" s="841"/>
      <c r="I15" s="841"/>
      <c r="J15" s="841"/>
      <c r="L15" s="841"/>
      <c r="M15" s="841"/>
      <c r="N15" s="841"/>
      <c r="P15" s="841"/>
      <c r="Q15" s="841"/>
      <c r="R15" s="841"/>
    </row>
    <row r="16" spans="1:20">
      <c r="H16" s="841"/>
      <c r="I16" s="841"/>
      <c r="J16" s="841"/>
    </row>
  </sheetData>
  <mergeCells count="38">
    <mergeCell ref="P15:R15"/>
    <mergeCell ref="L12:N12"/>
    <mergeCell ref="L13:N13"/>
    <mergeCell ref="L14:N14"/>
    <mergeCell ref="P13:R13"/>
    <mergeCell ref="H14:J14"/>
    <mergeCell ref="H7:J7"/>
    <mergeCell ref="P8:R8"/>
    <mergeCell ref="P9:R9"/>
    <mergeCell ref="P10:R10"/>
    <mergeCell ref="P11:R11"/>
    <mergeCell ref="L7:N7"/>
    <mergeCell ref="P7:R7"/>
    <mergeCell ref="P12:R12"/>
    <mergeCell ref="P14:R14"/>
    <mergeCell ref="H6:J6"/>
    <mergeCell ref="L6:N6"/>
    <mergeCell ref="P6:R6"/>
    <mergeCell ref="H16:J16"/>
    <mergeCell ref="L8:N8"/>
    <mergeCell ref="L9:N9"/>
    <mergeCell ref="L10:N10"/>
    <mergeCell ref="L11:N11"/>
    <mergeCell ref="H8:J8"/>
    <mergeCell ref="H9:J9"/>
    <mergeCell ref="H10:J10"/>
    <mergeCell ref="H11:J11"/>
    <mergeCell ref="H12:J12"/>
    <mergeCell ref="L15:N15"/>
    <mergeCell ref="H15:J15"/>
    <mergeCell ref="H13:J13"/>
    <mergeCell ref="B4:R4"/>
    <mergeCell ref="A1:T1"/>
    <mergeCell ref="A2:T2"/>
    <mergeCell ref="A3:T3"/>
    <mergeCell ref="H5:J5"/>
    <mergeCell ref="L5:N5"/>
    <mergeCell ref="P5:R5"/>
  </mergeCells>
  <pageMargins left="0.70866141732283505" right="0.70866141732283505" top="0.74803149606299202" bottom="0.74803149606299202" header="0.31496062992126" footer="0.31496062992126"/>
  <pageSetup scale="93" firstPageNumber="54" orientation="portrait" useFirstPageNumber="1" r:id="rId1"/>
  <headerFooter>
    <oddFooter>&amp;C&amp;"B Nazanin,Regular"&amp;14&amp;P</oddFooter>
  </headerFooter>
  <colBreaks count="1" manualBreakCount="1">
    <brk id="19"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rightToLeft="1" view="pageBreakPreview" zoomScaleNormal="130" zoomScaleSheetLayoutView="100" workbookViewId="0">
      <selection activeCell="B14" sqref="B14:C14"/>
    </sheetView>
  </sheetViews>
  <sheetFormatPr defaultColWidth="9" defaultRowHeight="21"/>
  <cols>
    <col min="1" max="1" width="2.7109375" style="1" customWidth="1"/>
    <col min="2" max="2" width="12.7109375" style="35" customWidth="1"/>
    <col min="3" max="3" width="24.7109375" style="1" customWidth="1"/>
    <col min="4" max="4" width="0.7109375" style="1" customWidth="1"/>
    <col min="5" max="5" width="15.7109375" style="31" customWidth="1"/>
    <col min="6" max="6" width="0.7109375" style="1" customWidth="1"/>
    <col min="7" max="7" width="15.7109375" style="31" customWidth="1"/>
    <col min="8" max="8" width="0.7109375" style="31" customWidth="1"/>
    <col min="9" max="9" width="15.7109375" style="31" customWidth="1"/>
    <col min="10" max="10" width="1" style="1" customWidth="1"/>
    <col min="11" max="11" width="3.140625" style="1" customWidth="1"/>
    <col min="12" max="12" width="28.140625" style="1" customWidth="1"/>
    <col min="13" max="13" width="17.140625" style="1" customWidth="1"/>
    <col min="14" max="16384" width="9" style="1"/>
  </cols>
  <sheetData>
    <row r="1" spans="1:14" ht="21.75">
      <c r="A1" s="765" t="str">
        <f>مفروضات!$C$1</f>
        <v>دانشگاه علوم پزشکی و خدمات بهداشتی درمانی سمنان</v>
      </c>
      <c r="B1" s="766"/>
      <c r="C1" s="766"/>
      <c r="D1" s="766"/>
      <c r="E1" s="766"/>
      <c r="F1" s="766"/>
      <c r="G1" s="766"/>
      <c r="H1" s="766"/>
      <c r="I1" s="766"/>
      <c r="J1" s="81"/>
      <c r="K1" s="25"/>
      <c r="L1" s="25"/>
      <c r="M1" s="25"/>
      <c r="N1" s="25"/>
    </row>
    <row r="2" spans="1:14" s="26" customFormat="1">
      <c r="A2" s="6"/>
      <c r="B2" s="767" t="s">
        <v>33</v>
      </c>
      <c r="C2" s="767"/>
      <c r="D2" s="767"/>
      <c r="E2" s="767"/>
      <c r="F2" s="767"/>
      <c r="G2" s="767"/>
      <c r="H2" s="767"/>
      <c r="I2" s="767"/>
      <c r="J2" s="767"/>
    </row>
    <row r="3" spans="1:14">
      <c r="A3" s="6"/>
      <c r="B3" s="767" t="str">
        <f>مفروضات!$C$7</f>
        <v>سال مالي منتهي به 29 اسفند ماه 1402</v>
      </c>
      <c r="C3" s="767"/>
      <c r="D3" s="767"/>
      <c r="E3" s="767"/>
      <c r="F3" s="767"/>
      <c r="G3" s="767"/>
      <c r="H3" s="767"/>
      <c r="I3" s="767"/>
      <c r="J3" s="767"/>
    </row>
    <row r="4" spans="1:14" ht="15.75" customHeight="1">
      <c r="B4" s="28"/>
      <c r="C4" s="29"/>
      <c r="D4" s="29"/>
      <c r="E4" s="29"/>
      <c r="F4" s="29"/>
      <c r="G4" s="29"/>
      <c r="H4" s="29"/>
      <c r="I4" s="29"/>
      <c r="J4" s="29"/>
    </row>
    <row r="5" spans="1:14" s="5" customFormat="1">
      <c r="A5" s="6"/>
      <c r="B5" s="796" t="s">
        <v>1412</v>
      </c>
      <c r="C5" s="796"/>
      <c r="D5" s="76"/>
      <c r="E5" s="11"/>
      <c r="F5" s="12"/>
      <c r="G5" s="6"/>
      <c r="H5" s="13"/>
      <c r="I5" s="13"/>
    </row>
    <row r="6" spans="1:14">
      <c r="B6" s="59"/>
      <c r="C6" s="31"/>
      <c r="D6" s="31"/>
      <c r="E6" s="84" t="s">
        <v>1</v>
      </c>
      <c r="F6" s="31"/>
      <c r="G6" s="32">
        <f>مفروضات!$C$3</f>
        <v>1402</v>
      </c>
      <c r="H6" s="33"/>
      <c r="I6" s="32">
        <f>مفروضات!$C$4</f>
        <v>1401</v>
      </c>
      <c r="J6" s="34"/>
    </row>
    <row r="7" spans="1:14">
      <c r="B7" s="3"/>
      <c r="G7" s="58" t="s">
        <v>103</v>
      </c>
      <c r="H7" s="2"/>
      <c r="I7" s="58" t="s">
        <v>103</v>
      </c>
    </row>
    <row r="8" spans="1:14" ht="21" customHeight="1">
      <c r="B8" s="772" t="s">
        <v>361</v>
      </c>
      <c r="C8" s="772"/>
      <c r="D8" s="88"/>
      <c r="E8" s="605" t="s">
        <v>1413</v>
      </c>
      <c r="F8" s="43"/>
      <c r="G8" s="639">
        <f>G18</f>
        <v>425586723340</v>
      </c>
      <c r="H8" s="313"/>
      <c r="I8" s="639">
        <f>I18</f>
        <v>247983094192</v>
      </c>
    </row>
    <row r="9" spans="1:14" ht="24.75">
      <c r="B9" s="875" t="s">
        <v>189</v>
      </c>
      <c r="C9" s="875"/>
      <c r="D9" s="3"/>
      <c r="E9" s="605" t="s">
        <v>1414</v>
      </c>
      <c r="F9" s="43"/>
      <c r="G9" s="639">
        <f>'45-2'!G11</f>
        <v>317930977730</v>
      </c>
      <c r="H9" s="313"/>
      <c r="I9" s="639">
        <f>'45-2'!I11</f>
        <v>488704219319</v>
      </c>
    </row>
    <row r="10" spans="1:14" ht="20.100000000000001" customHeight="1">
      <c r="B10" s="74" t="s">
        <v>362</v>
      </c>
      <c r="C10" s="74"/>
      <c r="D10" s="74"/>
      <c r="E10" s="605" t="s">
        <v>1415</v>
      </c>
      <c r="F10" s="43"/>
      <c r="G10" s="639">
        <f>'45-2'!G30</f>
        <v>293167592973</v>
      </c>
      <c r="H10" s="69"/>
      <c r="I10" s="639">
        <f>'45-2'!I30</f>
        <v>282408190365</v>
      </c>
    </row>
    <row r="11" spans="1:14" ht="25.5" thickBot="1">
      <c r="B11" s="820"/>
      <c r="C11" s="820"/>
      <c r="E11" s="603"/>
      <c r="F11" s="43"/>
      <c r="G11" s="312">
        <f>SUM(G8:G10)</f>
        <v>1036685294043</v>
      </c>
      <c r="H11" s="313"/>
      <c r="I11" s="312">
        <f>SUM(I8:I10)</f>
        <v>1019095503876</v>
      </c>
    </row>
    <row r="12" spans="1:14" ht="24" customHeight="1" thickTop="1">
      <c r="B12" s="820"/>
      <c r="C12" s="820"/>
      <c r="D12" s="77"/>
      <c r="E12" s="77"/>
      <c r="F12" s="77"/>
      <c r="G12" s="77"/>
      <c r="H12" s="77"/>
      <c r="I12" s="77"/>
    </row>
    <row r="13" spans="1:14" s="5" customFormat="1" ht="22.5" customHeight="1">
      <c r="B13" s="813" t="s">
        <v>1416</v>
      </c>
      <c r="C13" s="813"/>
      <c r="D13" s="813"/>
      <c r="E13" s="813"/>
      <c r="F13" s="813"/>
      <c r="G13" s="813"/>
      <c r="H13" s="813"/>
      <c r="I13" s="813"/>
    </row>
    <row r="14" spans="1:14">
      <c r="B14" s="820"/>
      <c r="C14" s="820"/>
      <c r="D14" s="59"/>
      <c r="G14" s="32">
        <f>مفروضات!$C$3</f>
        <v>1402</v>
      </c>
      <c r="H14" s="33"/>
      <c r="I14" s="32">
        <f>مفروضات!$C$4</f>
        <v>1401</v>
      </c>
      <c r="J14" s="34"/>
    </row>
    <row r="15" spans="1:14" s="31" customFormat="1">
      <c r="B15" s="815" t="s">
        <v>9</v>
      </c>
      <c r="C15" s="815"/>
      <c r="D15" s="44"/>
      <c r="E15" s="53"/>
      <c r="F15" s="1"/>
      <c r="G15" s="58" t="s">
        <v>103</v>
      </c>
      <c r="H15" s="2"/>
      <c r="I15" s="58" t="s">
        <v>103</v>
      </c>
    </row>
    <row r="16" spans="1:14" ht="24.75">
      <c r="B16" s="814" t="s">
        <v>172</v>
      </c>
      <c r="C16" s="814"/>
      <c r="D16" s="55"/>
      <c r="E16" s="55"/>
      <c r="G16" s="639">
        <v>420705223340</v>
      </c>
      <c r="H16" s="69"/>
      <c r="I16" s="639">
        <v>244921594192</v>
      </c>
    </row>
    <row r="17" spans="2:9" ht="24.75">
      <c r="B17" s="929" t="s">
        <v>178</v>
      </c>
      <c r="C17" s="929"/>
      <c r="D17" s="44"/>
      <c r="E17" s="44"/>
      <c r="G17" s="639">
        <v>4881500000</v>
      </c>
      <c r="H17" s="69"/>
      <c r="I17" s="639">
        <v>3061500000</v>
      </c>
    </row>
    <row r="18" spans="2:9" ht="25.5" thickBot="1">
      <c r="B18" s="820"/>
      <c r="C18" s="820"/>
      <c r="D18" s="35"/>
      <c r="E18" s="35"/>
      <c r="G18" s="312">
        <f>SUM(G16:G17)</f>
        <v>425586723340</v>
      </c>
      <c r="H18" s="69"/>
      <c r="I18" s="312">
        <f>SUM(I16:I17)</f>
        <v>247983094192</v>
      </c>
    </row>
    <row r="19" spans="2:9" ht="21.75" thickTop="1">
      <c r="B19" s="59"/>
      <c r="C19" s="59"/>
      <c r="D19" s="59"/>
      <c r="E19" s="59"/>
    </row>
    <row r="36" spans="2:9">
      <c r="B36" s="1"/>
      <c r="E36" s="1"/>
      <c r="G36" s="1"/>
      <c r="H36" s="1"/>
      <c r="I36" s="1"/>
    </row>
  </sheetData>
  <mergeCells count="14">
    <mergeCell ref="B16:C16"/>
    <mergeCell ref="B17:C17"/>
    <mergeCell ref="B18:C18"/>
    <mergeCell ref="B11:C11"/>
    <mergeCell ref="B12:C12"/>
    <mergeCell ref="B13:I13"/>
    <mergeCell ref="B14:C14"/>
    <mergeCell ref="B15:C15"/>
    <mergeCell ref="B9:C9"/>
    <mergeCell ref="A1:I1"/>
    <mergeCell ref="B2:J2"/>
    <mergeCell ref="B3:J3"/>
    <mergeCell ref="B5:C5"/>
    <mergeCell ref="B8:C8"/>
  </mergeCells>
  <printOptions horizontalCentered="1"/>
  <pageMargins left="0.55118110236220497" right="0.70866141732283505" top="0.47244094488188998" bottom="0.74803149606299202" header="0.31496062992126" footer="0.31496062992126"/>
  <pageSetup paperSize="9" scale="90" firstPageNumber="55" orientation="portrait" useFirstPageNumber="1" r:id="rId1"/>
  <headerFooter>
    <oddFooter>&amp;C&amp;"B Nazanin,Regular"&amp;14&amp;P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rightToLeft="1" view="pageBreakPreview" topLeftCell="A3" zoomScaleNormal="140" zoomScaleSheetLayoutView="100" workbookViewId="0">
      <selection activeCell="B22" sqref="B22:C22"/>
    </sheetView>
  </sheetViews>
  <sheetFormatPr defaultColWidth="9" defaultRowHeight="21"/>
  <cols>
    <col min="1" max="1" width="2.7109375" style="1" customWidth="1"/>
    <col min="2" max="2" width="12.7109375" style="35" customWidth="1"/>
    <col min="3" max="3" width="24.7109375" style="1" customWidth="1"/>
    <col min="4" max="4" width="0.7109375" style="1" customWidth="1"/>
    <col min="5" max="5" width="15.7109375" style="31" customWidth="1"/>
    <col min="6" max="6" width="0.7109375" style="1" customWidth="1"/>
    <col min="7" max="7" width="15.7109375" style="31" customWidth="1"/>
    <col min="8" max="8" width="0.7109375" style="31" customWidth="1"/>
    <col min="9" max="9" width="15.7109375" style="31" customWidth="1"/>
    <col min="10" max="10" width="0.5703125" style="1" customWidth="1"/>
    <col min="11" max="11" width="29.85546875" style="1" customWidth="1"/>
    <col min="12" max="12" width="28.140625" style="1" customWidth="1"/>
    <col min="13" max="13" width="17.140625" style="1" customWidth="1"/>
    <col min="14" max="16384" width="9" style="1"/>
  </cols>
  <sheetData>
    <row r="1" spans="1:14" ht="21.75">
      <c r="A1" s="765" t="str">
        <f>مفروضات!$C$1</f>
        <v>دانشگاه علوم پزشکی و خدمات بهداشتی درمانی سمنان</v>
      </c>
      <c r="B1" s="765"/>
      <c r="C1" s="765"/>
      <c r="D1" s="765"/>
      <c r="E1" s="765"/>
      <c r="F1" s="765"/>
      <c r="G1" s="765"/>
      <c r="H1" s="765"/>
      <c r="I1" s="765"/>
      <c r="J1" s="765"/>
      <c r="K1" s="25"/>
      <c r="L1" s="25"/>
      <c r="M1" s="25"/>
      <c r="N1" s="25"/>
    </row>
    <row r="2" spans="1:14" s="26" customFormat="1">
      <c r="A2" s="767" t="s">
        <v>33</v>
      </c>
      <c r="B2" s="767"/>
      <c r="C2" s="767"/>
      <c r="D2" s="767"/>
      <c r="E2" s="767"/>
      <c r="F2" s="767"/>
      <c r="G2" s="767"/>
      <c r="H2" s="767"/>
      <c r="I2" s="767"/>
      <c r="J2" s="767"/>
    </row>
    <row r="3" spans="1:14">
      <c r="A3" s="767" t="str">
        <f>مفروضات!$C$7</f>
        <v>سال مالي منتهي به 29 اسفند ماه 1402</v>
      </c>
      <c r="B3" s="767"/>
      <c r="C3" s="767"/>
      <c r="D3" s="767"/>
      <c r="E3" s="767"/>
      <c r="F3" s="767"/>
      <c r="G3" s="767"/>
      <c r="H3" s="767"/>
      <c r="I3" s="767"/>
      <c r="J3" s="767"/>
    </row>
    <row r="4" spans="1:14" ht="15.75" customHeight="1">
      <c r="B4" s="28"/>
      <c r="C4" s="29"/>
      <c r="D4" s="29"/>
      <c r="E4" s="29"/>
      <c r="F4" s="29"/>
      <c r="G4" s="29"/>
      <c r="H4" s="29"/>
      <c r="I4" s="29"/>
      <c r="J4" s="29"/>
    </row>
    <row r="5" spans="1:14" s="5" customFormat="1" ht="18" customHeight="1">
      <c r="B5" s="813" t="s">
        <v>1417</v>
      </c>
      <c r="C5" s="813"/>
      <c r="D5" s="813"/>
      <c r="E5" s="813"/>
      <c r="F5" s="813"/>
      <c r="G5" s="813"/>
      <c r="H5" s="813"/>
      <c r="I5" s="813"/>
    </row>
    <row r="6" spans="1:14" ht="18" customHeight="1">
      <c r="B6" s="820"/>
      <c r="C6" s="820"/>
      <c r="D6" s="59"/>
      <c r="G6" s="32">
        <f>مفروضات!$C$3</f>
        <v>1402</v>
      </c>
      <c r="H6" s="33"/>
      <c r="I6" s="32">
        <f>مفروضات!$C$4</f>
        <v>1401</v>
      </c>
      <c r="J6" s="34"/>
    </row>
    <row r="7" spans="1:14" s="31" customFormat="1" ht="18" customHeight="1">
      <c r="C7" s="44" t="s">
        <v>906</v>
      </c>
      <c r="D7" s="53"/>
      <c r="E7" s="84" t="s">
        <v>5</v>
      </c>
      <c r="F7" s="1"/>
      <c r="G7" s="58" t="s">
        <v>103</v>
      </c>
      <c r="H7" s="2"/>
      <c r="I7" s="58" t="s">
        <v>103</v>
      </c>
    </row>
    <row r="8" spans="1:14" s="31" customFormat="1" ht="18" customHeight="1">
      <c r="C8" s="44"/>
      <c r="D8" s="53"/>
      <c r="E8" s="201">
        <v>1400</v>
      </c>
      <c r="F8" s="1"/>
      <c r="G8" s="68">
        <v>0</v>
      </c>
      <c r="H8" s="69"/>
      <c r="I8" s="639">
        <v>9267245917</v>
      </c>
    </row>
    <row r="9" spans="1:14" ht="18" customHeight="1">
      <c r="B9" s="55"/>
      <c r="C9" s="55"/>
      <c r="D9" s="67"/>
      <c r="E9" s="201">
        <v>1401</v>
      </c>
      <c r="G9" s="639">
        <v>97561689255</v>
      </c>
      <c r="H9" s="69"/>
      <c r="I9" s="639">
        <v>479436973402</v>
      </c>
    </row>
    <row r="10" spans="1:14" ht="18" customHeight="1">
      <c r="B10" s="44"/>
      <c r="C10" s="44"/>
      <c r="D10" s="3"/>
      <c r="E10" s="201">
        <v>1402</v>
      </c>
      <c r="G10" s="639">
        <v>220369288475</v>
      </c>
      <c r="H10" s="69"/>
      <c r="I10" s="146">
        <v>0</v>
      </c>
    </row>
    <row r="11" spans="1:14" ht="18" customHeight="1" thickBot="1">
      <c r="C11" s="35"/>
      <c r="D11" s="35"/>
      <c r="G11" s="312">
        <f>SUM(G9:G10)</f>
        <v>317930977730</v>
      </c>
      <c r="H11" s="69"/>
      <c r="I11" s="312">
        <f>SUM(I8:I10)</f>
        <v>488704219319</v>
      </c>
    </row>
    <row r="12" spans="1:14" ht="15" customHeight="1" thickTop="1">
      <c r="B12" s="820"/>
      <c r="C12" s="820"/>
      <c r="D12" s="59"/>
      <c r="E12" s="59"/>
    </row>
    <row r="13" spans="1:14" s="5" customFormat="1" ht="20.25" hidden="1" customHeight="1">
      <c r="B13" s="813" t="s">
        <v>1009</v>
      </c>
      <c r="C13" s="813"/>
      <c r="D13" s="813"/>
      <c r="E13" s="813"/>
      <c r="F13" s="813"/>
      <c r="G13" s="813"/>
      <c r="H13" s="813"/>
      <c r="I13" s="813"/>
    </row>
    <row r="14" spans="1:14" ht="20.25" hidden="1" customHeight="1">
      <c r="B14" s="820"/>
      <c r="C14" s="820"/>
      <c r="D14" s="59"/>
      <c r="G14" s="32">
        <f>مفروضات!$C$3</f>
        <v>1402</v>
      </c>
      <c r="H14" s="33"/>
      <c r="I14" s="32">
        <f>مفروضات!$C$4</f>
        <v>1401</v>
      </c>
      <c r="J14" s="34"/>
    </row>
    <row r="15" spans="1:14" s="31" customFormat="1" ht="20.25" hidden="1" customHeight="1">
      <c r="C15" s="44"/>
      <c r="D15" s="53"/>
      <c r="E15" s="84" t="s">
        <v>5</v>
      </c>
      <c r="F15" s="1"/>
      <c r="G15" s="58" t="s">
        <v>103</v>
      </c>
      <c r="H15" s="2"/>
      <c r="I15" s="58" t="s">
        <v>103</v>
      </c>
    </row>
    <row r="16" spans="1:14" ht="20.25" hidden="1" customHeight="1">
      <c r="B16" s="55"/>
      <c r="C16" s="55"/>
      <c r="D16" s="67"/>
      <c r="G16" s="139">
        <v>0</v>
      </c>
      <c r="H16" s="2"/>
      <c r="I16" s="139">
        <v>0</v>
      </c>
    </row>
    <row r="17" spans="2:10" ht="20.25" hidden="1" customHeight="1">
      <c r="B17" s="55"/>
      <c r="C17" s="55"/>
      <c r="D17" s="67"/>
      <c r="G17" s="139">
        <v>0</v>
      </c>
      <c r="H17" s="2"/>
      <c r="I17" s="139">
        <v>0</v>
      </c>
    </row>
    <row r="18" spans="2:10" ht="20.25" hidden="1" customHeight="1">
      <c r="B18" s="44"/>
      <c r="C18" s="44"/>
      <c r="D18" s="3"/>
      <c r="G18" s="139">
        <v>0</v>
      </c>
      <c r="H18" s="2"/>
      <c r="I18" s="139">
        <v>0</v>
      </c>
    </row>
    <row r="19" spans="2:10" ht="20.25" hidden="1" customHeight="1" thickBot="1">
      <c r="C19" s="35"/>
      <c r="D19" s="35"/>
      <c r="G19" s="140">
        <f>SUM(G16:G18)</f>
        <v>0</v>
      </c>
      <c r="H19" s="2"/>
      <c r="I19" s="140">
        <f>SUM(I16:I18)</f>
        <v>0</v>
      </c>
    </row>
    <row r="20" spans="2:10">
      <c r="C20" s="35"/>
      <c r="D20" s="35"/>
      <c r="G20" s="2"/>
      <c r="H20" s="2"/>
      <c r="I20" s="2"/>
    </row>
    <row r="21" spans="2:10" s="5" customFormat="1" ht="18.75" customHeight="1">
      <c r="B21" s="813" t="s">
        <v>1418</v>
      </c>
      <c r="C21" s="813"/>
      <c r="D21" s="813"/>
      <c r="E21" s="813"/>
      <c r="F21" s="813"/>
      <c r="G21" s="813"/>
      <c r="H21" s="813"/>
      <c r="I21" s="813"/>
    </row>
    <row r="22" spans="2:10" ht="18.75" customHeight="1">
      <c r="B22" s="820"/>
      <c r="C22" s="820"/>
      <c r="D22" s="59"/>
      <c r="G22" s="32">
        <f>مفروضات!$C$3</f>
        <v>1402</v>
      </c>
      <c r="H22" s="33"/>
      <c r="I22" s="32">
        <f>مفروضات!$C$4</f>
        <v>1401</v>
      </c>
      <c r="J22" s="34"/>
    </row>
    <row r="23" spans="2:10" s="31" customFormat="1" ht="18.75" customHeight="1">
      <c r="C23" s="44"/>
      <c r="D23" s="53"/>
      <c r="E23" s="84" t="s">
        <v>5</v>
      </c>
      <c r="F23" s="1"/>
      <c r="G23" s="58" t="s">
        <v>103</v>
      </c>
      <c r="H23" s="2"/>
      <c r="I23" s="58" t="s">
        <v>103</v>
      </c>
    </row>
    <row r="24" spans="2:10" s="31" customFormat="1" ht="18.75" customHeight="1">
      <c r="C24" s="44"/>
      <c r="D24" s="53"/>
      <c r="E24" s="343">
        <v>1395</v>
      </c>
      <c r="F24" s="1"/>
      <c r="G24" s="640">
        <v>333692299</v>
      </c>
      <c r="H24" s="299"/>
      <c r="I24" s="640">
        <v>1685019799</v>
      </c>
    </row>
    <row r="25" spans="2:10" s="31" customFormat="1" ht="18.75" customHeight="1">
      <c r="C25" s="44"/>
      <c r="D25" s="53"/>
      <c r="E25" s="343">
        <v>1398</v>
      </c>
      <c r="F25" s="1"/>
      <c r="G25" s="641">
        <v>0</v>
      </c>
      <c r="H25" s="299"/>
      <c r="I25" s="640">
        <v>1381685218</v>
      </c>
    </row>
    <row r="26" spans="2:10" s="31" customFormat="1" ht="18.75" customHeight="1">
      <c r="C26" s="44"/>
      <c r="D26" s="53"/>
      <c r="E26" s="343">
        <v>1399</v>
      </c>
      <c r="F26" s="1"/>
      <c r="G26" s="641">
        <v>0</v>
      </c>
      <c r="H26" s="299"/>
      <c r="I26" s="640">
        <v>1501327500</v>
      </c>
    </row>
    <row r="27" spans="2:10" ht="18.75" customHeight="1">
      <c r="B27" s="55"/>
      <c r="C27" s="55"/>
      <c r="D27" s="67"/>
      <c r="E27" s="343">
        <v>1400</v>
      </c>
      <c r="G27" s="640">
        <v>205467835708</v>
      </c>
      <c r="H27" s="299"/>
      <c r="I27" s="640">
        <v>212878235708</v>
      </c>
    </row>
    <row r="28" spans="2:10" ht="18.75" customHeight="1">
      <c r="B28" s="44"/>
      <c r="C28" s="44"/>
      <c r="D28" s="3"/>
      <c r="E28" s="343">
        <v>1401</v>
      </c>
      <c r="G28" s="641">
        <v>0</v>
      </c>
      <c r="H28" s="299"/>
      <c r="I28" s="640">
        <v>64961922140</v>
      </c>
    </row>
    <row r="29" spans="2:10" ht="18.75" customHeight="1">
      <c r="B29" s="44"/>
      <c r="C29" s="44"/>
      <c r="D29" s="3"/>
      <c r="E29" s="343">
        <v>1402</v>
      </c>
      <c r="G29" s="640">
        <v>87366064966</v>
      </c>
      <c r="H29" s="299"/>
      <c r="I29" s="641">
        <v>0</v>
      </c>
    </row>
    <row r="30" spans="2:10" ht="18.75" customHeight="1" thickBot="1">
      <c r="C30" s="35"/>
      <c r="D30" s="35"/>
      <c r="G30" s="631">
        <f>SUM(G24:G29)</f>
        <v>293167592973</v>
      </c>
      <c r="H30" s="299"/>
      <c r="I30" s="631">
        <f>SUM(I24:I29)</f>
        <v>282408190365</v>
      </c>
    </row>
    <row r="31" spans="2:10" ht="21.75" thickTop="1"/>
    <row r="48" spans="2:9">
      <c r="B48" s="1"/>
      <c r="E48" s="1"/>
      <c r="G48" s="1"/>
      <c r="H48" s="1"/>
      <c r="I48" s="1"/>
    </row>
  </sheetData>
  <mergeCells count="10">
    <mergeCell ref="B21:I21"/>
    <mergeCell ref="B22:C22"/>
    <mergeCell ref="B13:I13"/>
    <mergeCell ref="B14:C14"/>
    <mergeCell ref="B12:C12"/>
    <mergeCell ref="B5:I5"/>
    <mergeCell ref="B6:C6"/>
    <mergeCell ref="A1:J1"/>
    <mergeCell ref="A2:J2"/>
    <mergeCell ref="A3:J3"/>
  </mergeCells>
  <printOptions horizontalCentered="1"/>
  <pageMargins left="0.55118110236220497" right="0.70866141732283505" top="0.47244094488188998" bottom="0.74803149606299202" header="0.31496062992126" footer="0.31496062992126"/>
  <pageSetup paperSize="9" scale="90" firstPageNumber="56" orientation="portrait" useFirstPageNumber="1" r:id="rId1"/>
  <headerFooter>
    <oddFooter>&amp;C&amp;"B Nazanin,Regular"&amp;P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rightToLeft="1" view="pageBreakPreview" zoomScaleNormal="140" zoomScaleSheetLayoutView="100" workbookViewId="0">
      <selection activeCell="B38" sqref="B38"/>
    </sheetView>
  </sheetViews>
  <sheetFormatPr defaultColWidth="9" defaultRowHeight="21"/>
  <cols>
    <col min="1" max="1" width="2.7109375" style="1" customWidth="1"/>
    <col min="2" max="2" width="27.140625" style="59" customWidth="1"/>
    <col min="3" max="3" width="0.28515625" style="1" customWidth="1"/>
    <col min="4" max="4" width="6.140625" style="31" bestFit="1" customWidth="1"/>
    <col min="5" max="5" width="0.42578125" style="1" customWidth="1"/>
    <col min="6" max="6" width="17.140625" style="2" customWidth="1"/>
    <col min="7" max="7" width="0.42578125" style="2" customWidth="1"/>
    <col min="8" max="8" width="17.140625" style="2" customWidth="1"/>
    <col min="9" max="9" width="0.42578125" style="1" customWidth="1"/>
    <col min="10" max="10" width="18.5703125" style="1" customWidth="1"/>
    <col min="11" max="11" width="28.140625" style="1" customWidth="1"/>
    <col min="12" max="12" width="17.140625" style="1" customWidth="1"/>
    <col min="13" max="16384" width="9" style="1"/>
  </cols>
  <sheetData>
    <row r="1" spans="1:13" ht="21.75">
      <c r="A1" s="765" t="str">
        <f>مفروضات!$C$1</f>
        <v>دانشگاه علوم پزشکی و خدمات بهداشتی درمانی سمنان</v>
      </c>
      <c r="B1" s="765"/>
      <c r="C1" s="765"/>
      <c r="D1" s="765"/>
      <c r="E1" s="765"/>
      <c r="F1" s="765"/>
      <c r="G1" s="765"/>
      <c r="H1" s="765"/>
      <c r="I1" s="765"/>
      <c r="J1" s="25"/>
      <c r="K1" s="25"/>
      <c r="L1" s="25"/>
      <c r="M1" s="25"/>
    </row>
    <row r="2" spans="1:13" s="26" customFormat="1">
      <c r="A2" s="767" t="s">
        <v>33</v>
      </c>
      <c r="B2" s="767"/>
      <c r="C2" s="767"/>
      <c r="D2" s="767"/>
      <c r="E2" s="767"/>
      <c r="F2" s="767"/>
      <c r="G2" s="767"/>
      <c r="H2" s="767"/>
      <c r="I2" s="767"/>
    </row>
    <row r="3" spans="1:13" ht="21.75">
      <c r="A3" s="767" t="str">
        <f>مفروضات!$C$7</f>
        <v>سال مالي منتهي به 29 اسفند ماه 1402</v>
      </c>
      <c r="B3" s="767"/>
      <c r="C3" s="767"/>
      <c r="D3" s="767"/>
      <c r="E3" s="767"/>
      <c r="F3" s="767"/>
      <c r="G3" s="767"/>
      <c r="H3" s="767"/>
      <c r="I3" s="767"/>
      <c r="J3" s="26"/>
    </row>
    <row r="4" spans="1:13" ht="6" customHeight="1">
      <c r="A4" s="930"/>
      <c r="B4" s="930"/>
      <c r="C4" s="930"/>
      <c r="D4" s="930"/>
      <c r="E4" s="930"/>
      <c r="F4" s="930"/>
      <c r="G4" s="930"/>
      <c r="H4" s="930"/>
      <c r="I4" s="930"/>
    </row>
    <row r="5" spans="1:13" ht="25.15" customHeight="1">
      <c r="A5" s="26"/>
      <c r="B5" s="796" t="s">
        <v>1419</v>
      </c>
      <c r="C5" s="796"/>
      <c r="D5" s="796"/>
      <c r="E5" s="796"/>
      <c r="F5" s="796"/>
      <c r="G5" s="796"/>
      <c r="H5" s="796"/>
      <c r="I5" s="26"/>
      <c r="J5" s="26"/>
      <c r="K5" s="26"/>
      <c r="L5" s="26"/>
      <c r="M5" s="26"/>
    </row>
    <row r="6" spans="1:13" ht="18.75" customHeight="1">
      <c r="A6" s="26"/>
      <c r="B6" s="794" t="s">
        <v>1420</v>
      </c>
      <c r="C6" s="794"/>
      <c r="D6" s="794"/>
      <c r="E6" s="794"/>
      <c r="F6" s="794"/>
      <c r="G6" s="794"/>
      <c r="H6" s="794"/>
      <c r="I6" s="26"/>
      <c r="J6" s="26"/>
      <c r="K6" s="26"/>
      <c r="L6" s="26"/>
      <c r="M6" s="26"/>
    </row>
    <row r="7" spans="1:13" ht="18.75" customHeight="1">
      <c r="F7" s="32">
        <f>مفروضات!$C$3</f>
        <v>1402</v>
      </c>
      <c r="G7" s="33"/>
      <c r="H7" s="32">
        <f>مفروضات!$C$4</f>
        <v>1401</v>
      </c>
      <c r="I7" s="34"/>
    </row>
    <row r="8" spans="1:13" s="708" customFormat="1" ht="18.75" customHeight="1">
      <c r="B8" s="706"/>
      <c r="D8" s="707"/>
      <c r="F8" s="58" t="s">
        <v>103</v>
      </c>
      <c r="G8" s="33"/>
      <c r="H8" s="58" t="s">
        <v>103</v>
      </c>
      <c r="I8" s="34"/>
    </row>
    <row r="9" spans="1:13" ht="20.25" customHeight="1">
      <c r="B9" s="384" t="s">
        <v>942</v>
      </c>
      <c r="F9" s="642">
        <v>302301785355</v>
      </c>
      <c r="G9" s="643"/>
      <c r="H9" s="642">
        <v>57879938299</v>
      </c>
      <c r="I9" s="34"/>
    </row>
    <row r="10" spans="1:13" ht="18.75" customHeight="1">
      <c r="B10" s="384" t="s">
        <v>797</v>
      </c>
      <c r="F10" s="627" t="s">
        <v>740</v>
      </c>
      <c r="G10" s="643"/>
      <c r="H10" s="642">
        <v>53361271464</v>
      </c>
      <c r="I10" s="34"/>
    </row>
    <row r="11" spans="1:13" ht="18.75" customHeight="1">
      <c r="B11" s="384" t="s">
        <v>943</v>
      </c>
      <c r="F11" s="627">
        <v>0</v>
      </c>
      <c r="G11" s="643"/>
      <c r="H11" s="643">
        <v>0</v>
      </c>
      <c r="I11" s="34"/>
    </row>
    <row r="12" spans="1:13" ht="18.75" customHeight="1">
      <c r="B12" s="384" t="s">
        <v>920</v>
      </c>
      <c r="F12" s="627" t="s">
        <v>740</v>
      </c>
      <c r="G12" s="643"/>
      <c r="H12" s="643">
        <v>0</v>
      </c>
      <c r="I12" s="34"/>
    </row>
    <row r="13" spans="1:13" ht="18.75" customHeight="1">
      <c r="B13" s="384" t="s">
        <v>944</v>
      </c>
      <c r="F13" s="627" t="s">
        <v>740</v>
      </c>
      <c r="G13" s="643"/>
      <c r="H13" s="643">
        <v>0</v>
      </c>
      <c r="I13" s="34"/>
    </row>
    <row r="14" spans="1:13" ht="18.75" customHeight="1">
      <c r="B14" s="384" t="s">
        <v>945</v>
      </c>
      <c r="F14" s="642">
        <v>1058000000</v>
      </c>
      <c r="G14" s="643"/>
      <c r="H14" s="642">
        <v>18580200000</v>
      </c>
      <c r="I14" s="34"/>
    </row>
    <row r="15" spans="1:13" ht="18.75" customHeight="1">
      <c r="B15" s="384" t="s">
        <v>796</v>
      </c>
      <c r="F15" s="642">
        <v>3270819026</v>
      </c>
      <c r="G15" s="643"/>
      <c r="H15" s="642">
        <v>6185603282</v>
      </c>
      <c r="I15" s="34"/>
    </row>
    <row r="16" spans="1:13" ht="18.75" customHeight="1">
      <c r="B16" s="385" t="s">
        <v>939</v>
      </c>
      <c r="F16" s="146">
        <v>0</v>
      </c>
      <c r="G16" s="69"/>
      <c r="H16" s="644">
        <v>0</v>
      </c>
    </row>
    <row r="17" spans="2:8" ht="18.75" customHeight="1">
      <c r="B17" s="381" t="s">
        <v>940</v>
      </c>
      <c r="F17" s="146">
        <v>0</v>
      </c>
      <c r="G17" s="43"/>
      <c r="H17" s="642">
        <v>8632000000</v>
      </c>
    </row>
    <row r="18" spans="2:8" ht="18.75" customHeight="1">
      <c r="B18" s="381" t="s">
        <v>801</v>
      </c>
      <c r="D18" s="33"/>
      <c r="F18" s="642">
        <v>21768978626</v>
      </c>
      <c r="G18" s="43"/>
      <c r="H18" s="642">
        <v>80707174800</v>
      </c>
    </row>
    <row r="19" spans="2:8" ht="18.75" customHeight="1">
      <c r="B19" s="382" t="s">
        <v>946</v>
      </c>
      <c r="D19" s="33"/>
      <c r="F19" s="644">
        <v>0</v>
      </c>
      <c r="G19" s="43"/>
      <c r="H19" s="642">
        <v>84042000000</v>
      </c>
    </row>
    <row r="20" spans="2:8" ht="18.75" customHeight="1">
      <c r="B20" s="383" t="s">
        <v>947</v>
      </c>
      <c r="F20" s="644">
        <v>0</v>
      </c>
      <c r="G20" s="43"/>
      <c r="H20" s="644">
        <v>0</v>
      </c>
    </row>
    <row r="21" spans="2:8" ht="18.75" customHeight="1">
      <c r="B21" s="384" t="s">
        <v>948</v>
      </c>
      <c r="F21" s="644">
        <v>0</v>
      </c>
      <c r="G21" s="69"/>
      <c r="H21" s="644">
        <v>0</v>
      </c>
    </row>
    <row r="22" spans="2:8" ht="19.899999999999999" customHeight="1">
      <c r="B22" s="77" t="s">
        <v>949</v>
      </c>
      <c r="F22" s="644">
        <v>0</v>
      </c>
      <c r="G22" s="69"/>
      <c r="H22" s="644">
        <v>0</v>
      </c>
    </row>
    <row r="23" spans="2:8" ht="19.899999999999999" customHeight="1">
      <c r="B23" s="77" t="s">
        <v>950</v>
      </c>
      <c r="F23" s="644">
        <v>0</v>
      </c>
      <c r="G23" s="69"/>
      <c r="H23" s="644">
        <v>0</v>
      </c>
    </row>
    <row r="24" spans="2:8" ht="19.899999999999999" customHeight="1">
      <c r="B24" s="77" t="s">
        <v>941</v>
      </c>
      <c r="F24" s="642">
        <v>212487478101</v>
      </c>
      <c r="G24" s="69"/>
      <c r="H24" s="642">
        <v>7961637321</v>
      </c>
    </row>
    <row r="25" spans="2:8" ht="19.899999999999999" customHeight="1">
      <c r="B25" s="77" t="s">
        <v>951</v>
      </c>
      <c r="F25" s="644">
        <v>0</v>
      </c>
      <c r="G25" s="69"/>
      <c r="H25" s="644">
        <v>0</v>
      </c>
    </row>
    <row r="26" spans="2:8" ht="19.899999999999999" customHeight="1">
      <c r="B26" s="77" t="s">
        <v>952</v>
      </c>
      <c r="F26" s="644">
        <v>0</v>
      </c>
      <c r="G26" s="69"/>
      <c r="H26" s="644">
        <v>0</v>
      </c>
    </row>
    <row r="27" spans="2:8" ht="19.899999999999999" customHeight="1">
      <c r="B27" s="77" t="s">
        <v>953</v>
      </c>
      <c r="F27" s="644">
        <v>0</v>
      </c>
      <c r="G27" s="69"/>
      <c r="H27" s="644">
        <v>0</v>
      </c>
    </row>
    <row r="28" spans="2:8" ht="19.899999999999999" customHeight="1">
      <c r="B28" s="77" t="s">
        <v>954</v>
      </c>
      <c r="F28" s="642">
        <v>48986837543</v>
      </c>
      <c r="G28" s="69"/>
      <c r="H28" s="644">
        <v>0</v>
      </c>
    </row>
    <row r="29" spans="2:8" ht="19.899999999999999" customHeight="1" thickBot="1">
      <c r="B29" s="77"/>
      <c r="F29" s="312">
        <f>SUM(F9:F28)</f>
        <v>589873898651</v>
      </c>
      <c r="G29" s="69"/>
      <c r="H29" s="312">
        <f>SUM(H9:H28)</f>
        <v>317349825166</v>
      </c>
    </row>
    <row r="30" spans="2:8" ht="19.899999999999999" customHeight="1" thickTop="1">
      <c r="B30" s="794" t="s">
        <v>1421</v>
      </c>
      <c r="C30" s="794"/>
      <c r="D30" s="794"/>
      <c r="E30" s="794"/>
      <c r="F30" s="794"/>
      <c r="G30" s="82"/>
      <c r="H30" s="82"/>
    </row>
    <row r="31" spans="2:8" ht="19.899999999999999" customHeight="1">
      <c r="B31" s="796"/>
      <c r="C31" s="796"/>
      <c r="D31" s="796"/>
      <c r="E31" s="796"/>
      <c r="F31" s="796"/>
      <c r="G31" s="59"/>
      <c r="H31" s="1"/>
    </row>
    <row r="32" spans="2:8" ht="18.75" customHeight="1">
      <c r="C32" s="31"/>
      <c r="D32" s="84" t="s">
        <v>116</v>
      </c>
      <c r="E32" s="31"/>
      <c r="F32" s="32" t="s">
        <v>81</v>
      </c>
      <c r="G32" s="33"/>
      <c r="H32" s="69"/>
    </row>
    <row r="33" spans="2:8" ht="18.75" customHeight="1">
      <c r="B33" s="87"/>
      <c r="C33" s="87"/>
      <c r="D33" s="1"/>
      <c r="F33" s="58" t="s">
        <v>103</v>
      </c>
      <c r="H33" s="31"/>
    </row>
    <row r="34" spans="2:8" ht="18.75" customHeight="1">
      <c r="B34" s="90" t="s">
        <v>82</v>
      </c>
      <c r="C34" s="87"/>
      <c r="D34" s="2"/>
      <c r="F34" s="642">
        <v>124210070005</v>
      </c>
      <c r="G34" s="43"/>
      <c r="H34" s="82"/>
    </row>
    <row r="35" spans="2:8" ht="18.75" customHeight="1" thickBot="1">
      <c r="F35" s="312">
        <f>SUM(F34:F34)</f>
        <v>124210070005</v>
      </c>
      <c r="G35" s="69"/>
      <c r="H35" s="68"/>
    </row>
    <row r="36" spans="2:8" ht="13.5" customHeight="1" thickTop="1">
      <c r="F36" s="313"/>
      <c r="G36" s="69"/>
      <c r="H36" s="68"/>
    </row>
    <row r="37" spans="2:8" ht="40.5" customHeight="1">
      <c r="B37" s="819" t="s">
        <v>1422</v>
      </c>
      <c r="C37" s="819"/>
      <c r="D37" s="819"/>
      <c r="E37" s="819"/>
      <c r="F37" s="819"/>
      <c r="G37" s="819"/>
      <c r="H37" s="819"/>
    </row>
  </sheetData>
  <mergeCells count="9">
    <mergeCell ref="B37:H37"/>
    <mergeCell ref="B6:H6"/>
    <mergeCell ref="B30:F30"/>
    <mergeCell ref="B31:F31"/>
    <mergeCell ref="A1:I1"/>
    <mergeCell ref="A2:I2"/>
    <mergeCell ref="A3:I3"/>
    <mergeCell ref="A4:I4"/>
    <mergeCell ref="B5:H5"/>
  </mergeCells>
  <printOptions horizontalCentered="1"/>
  <pageMargins left="0.55118110236220497" right="0.70866141732283505" top="0.47244094488188998" bottom="0.74803149606299202" header="0.31496062992126" footer="0.31496062992126"/>
  <pageSetup paperSize="9" scale="95" firstPageNumber="57" orientation="portrait" useFirstPageNumber="1" r:id="rId1"/>
  <headerFooter>
    <oddFooter>&amp;C&amp;"B Nazanin,Regular"&amp;P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5"/>
  <sheetViews>
    <sheetView rightToLeft="1" view="pageBreakPreview" topLeftCell="A19" zoomScale="90" zoomScaleNormal="100" zoomScaleSheetLayoutView="90" workbookViewId="0">
      <selection activeCell="R9" sqref="R9"/>
    </sheetView>
  </sheetViews>
  <sheetFormatPr defaultColWidth="9.140625" defaultRowHeight="18"/>
  <cols>
    <col min="1" max="1" width="26" style="197" customWidth="1"/>
    <col min="2" max="2" width="0.5703125" style="197" customWidth="1"/>
    <col min="3" max="3" width="4.85546875" style="197" customWidth="1"/>
    <col min="4" max="4" width="0.5703125" style="197" customWidth="1"/>
    <col min="5" max="5" width="14" style="197" customWidth="1"/>
    <col min="6" max="6" width="0.5703125" style="197" customWidth="1"/>
    <col min="7" max="7" width="14" style="197" customWidth="1"/>
    <col min="8" max="8" width="0.5703125" style="197" customWidth="1"/>
    <col min="9" max="9" width="28.28515625" style="197" customWidth="1"/>
    <col min="10" max="10" width="0.5703125" style="197" customWidth="1"/>
    <col min="11" max="11" width="5.7109375" style="197" customWidth="1"/>
    <col min="12" max="12" width="0.5703125" style="197" customWidth="1"/>
    <col min="13" max="13" width="16.5703125" style="197" customWidth="1"/>
    <col min="14" max="14" width="0.5703125" style="197" customWidth="1"/>
    <col min="15" max="15" width="16.140625" style="197" customWidth="1"/>
    <col min="16" max="16" width="27.7109375" style="197" customWidth="1"/>
    <col min="17" max="17" width="0.85546875" style="197" hidden="1" customWidth="1"/>
    <col min="18" max="18" width="24.85546875" style="197" customWidth="1"/>
    <col min="19" max="19" width="10.7109375" style="197" customWidth="1"/>
    <col min="20" max="20" width="22.85546875" style="197" customWidth="1"/>
    <col min="21" max="21" width="0.7109375" style="197" customWidth="1"/>
    <col min="22" max="22" width="22.85546875" style="197" customWidth="1"/>
    <col min="23" max="26" width="9.140625" style="197"/>
    <col min="27" max="27" width="33.5703125" style="197" customWidth="1"/>
    <col min="28" max="28" width="0.7109375" style="197" customWidth="1"/>
    <col min="29" max="29" width="6.7109375" style="197" customWidth="1"/>
    <col min="30" max="30" width="0.7109375" style="197" customWidth="1"/>
    <col min="31" max="31" width="26.85546875" style="197" customWidth="1"/>
    <col min="32" max="38" width="9.140625" style="197"/>
    <col min="39" max="39" width="6.7109375" style="197" customWidth="1"/>
    <col min="40" max="41" width="36.140625" style="197" customWidth="1"/>
    <col min="42" max="43" width="20.140625" style="197" customWidth="1"/>
    <col min="44" max="44" width="30.85546875" style="197" customWidth="1"/>
    <col min="45" max="16384" width="9.140625" style="197"/>
  </cols>
  <sheetData>
    <row r="1" spans="1:16" ht="20.100000000000001" customHeight="1">
      <c r="A1" s="744" t="str">
        <f>مفروضات!$C$1</f>
        <v>دانشگاه علوم پزشکی و خدمات بهداشتی درمانی سمنان</v>
      </c>
      <c r="B1" s="744"/>
      <c r="C1" s="744"/>
      <c r="D1" s="744"/>
      <c r="E1" s="744"/>
      <c r="F1" s="744"/>
      <c r="G1" s="744"/>
      <c r="H1" s="744"/>
      <c r="I1" s="744"/>
      <c r="J1" s="744"/>
      <c r="K1" s="744"/>
      <c r="L1" s="744"/>
      <c r="M1" s="744"/>
      <c r="N1" s="744"/>
      <c r="O1" s="744"/>
    </row>
    <row r="2" spans="1:16" ht="20.100000000000001" customHeight="1">
      <c r="A2" s="744" t="s">
        <v>142</v>
      </c>
      <c r="B2" s="744"/>
      <c r="C2" s="744"/>
      <c r="D2" s="744"/>
      <c r="E2" s="744"/>
      <c r="F2" s="744"/>
      <c r="G2" s="744"/>
      <c r="H2" s="744"/>
      <c r="I2" s="744"/>
      <c r="J2" s="744"/>
      <c r="K2" s="744"/>
      <c r="L2" s="744"/>
      <c r="M2" s="744"/>
      <c r="N2" s="744"/>
      <c r="O2" s="744"/>
    </row>
    <row r="3" spans="1:16" ht="20.100000000000001" customHeight="1">
      <c r="A3" s="744" t="str">
        <f>مفروضات!$C$2</f>
        <v>در تاریخ 29 اسفند ماه 1402</v>
      </c>
      <c r="B3" s="744"/>
      <c r="C3" s="744"/>
      <c r="D3" s="744"/>
      <c r="E3" s="744"/>
      <c r="F3" s="744"/>
      <c r="G3" s="744"/>
      <c r="H3" s="744"/>
      <c r="I3" s="744"/>
      <c r="J3" s="744"/>
      <c r="K3" s="744"/>
      <c r="L3" s="744"/>
      <c r="M3" s="744"/>
      <c r="N3" s="744"/>
      <c r="O3" s="744"/>
    </row>
    <row r="4" spans="1:16" ht="9" customHeight="1">
      <c r="A4" s="345"/>
      <c r="B4" s="345"/>
      <c r="C4" s="345"/>
      <c r="D4" s="345"/>
      <c r="E4" s="345"/>
      <c r="F4" s="345"/>
      <c r="G4" s="345"/>
      <c r="H4" s="345"/>
      <c r="I4" s="345"/>
      <c r="J4" s="345"/>
      <c r="K4" s="345"/>
      <c r="L4" s="345"/>
      <c r="M4" s="345"/>
      <c r="N4" s="345"/>
      <c r="O4" s="345"/>
    </row>
    <row r="5" spans="1:16" ht="20.100000000000001" customHeight="1">
      <c r="A5" s="346"/>
      <c r="B5" s="346"/>
      <c r="C5" s="346"/>
      <c r="D5" s="346"/>
      <c r="E5" s="346"/>
      <c r="F5" s="745" t="s">
        <v>205</v>
      </c>
      <c r="G5" s="745"/>
      <c r="H5" s="745"/>
      <c r="I5" s="346"/>
      <c r="J5" s="346"/>
      <c r="K5" s="346"/>
      <c r="L5" s="346"/>
      <c r="M5" s="346"/>
      <c r="N5" s="346"/>
      <c r="O5" s="347" t="s">
        <v>205</v>
      </c>
    </row>
    <row r="6" spans="1:16" ht="20.100000000000001" customHeight="1">
      <c r="A6" s="348" t="s">
        <v>115</v>
      </c>
      <c r="B6" s="349"/>
      <c r="C6" s="350" t="s">
        <v>116</v>
      </c>
      <c r="D6" s="351"/>
      <c r="E6" s="350" t="s">
        <v>466</v>
      </c>
      <c r="F6" s="351"/>
      <c r="G6" s="350" t="s">
        <v>467</v>
      </c>
      <c r="H6" s="346"/>
      <c r="I6" s="348" t="s">
        <v>117</v>
      </c>
      <c r="J6" s="349"/>
      <c r="K6" s="350" t="s">
        <v>116</v>
      </c>
      <c r="L6" s="351"/>
      <c r="M6" s="350" t="s">
        <v>466</v>
      </c>
      <c r="N6" s="351"/>
      <c r="O6" s="350" t="s">
        <v>467</v>
      </c>
    </row>
    <row r="7" spans="1:16" ht="20.100000000000001" customHeight="1">
      <c r="A7" s="346"/>
      <c r="B7" s="349"/>
      <c r="C7" s="351"/>
      <c r="D7" s="351"/>
      <c r="E7" s="351"/>
      <c r="F7" s="351"/>
      <c r="G7" s="351"/>
      <c r="H7" s="346"/>
      <c r="I7" s="346"/>
      <c r="J7" s="349"/>
      <c r="K7" s="351"/>
      <c r="L7" s="351"/>
      <c r="M7" s="351"/>
      <c r="N7" s="351"/>
      <c r="O7" s="351"/>
      <c r="P7" s="468"/>
    </row>
    <row r="8" spans="1:16" ht="20.100000000000001" customHeight="1">
      <c r="A8" s="352"/>
      <c r="B8" s="352"/>
      <c r="C8" s="352"/>
      <c r="D8" s="352"/>
      <c r="E8" s="351" t="s">
        <v>70</v>
      </c>
      <c r="F8" s="352"/>
      <c r="G8" s="351" t="s">
        <v>70</v>
      </c>
      <c r="H8" s="352"/>
      <c r="I8" s="352"/>
      <c r="J8" s="352"/>
      <c r="K8" s="352"/>
      <c r="L8" s="352"/>
      <c r="M8" s="351" t="s">
        <v>70</v>
      </c>
      <c r="N8" s="352"/>
      <c r="O8" s="351" t="s">
        <v>70</v>
      </c>
    </row>
    <row r="9" spans="1:16" ht="20.100000000000001" customHeight="1">
      <c r="A9" s="353" t="s">
        <v>118</v>
      </c>
      <c r="B9" s="354"/>
      <c r="C9" s="354"/>
      <c r="D9" s="354"/>
      <c r="E9" s="355"/>
      <c r="F9" s="354"/>
      <c r="G9" s="355"/>
      <c r="H9" s="354"/>
      <c r="I9" s="353" t="s">
        <v>119</v>
      </c>
      <c r="J9" s="355"/>
      <c r="K9" s="355"/>
      <c r="L9" s="355"/>
      <c r="M9" s="413"/>
      <c r="N9" s="413"/>
      <c r="O9" s="413"/>
    </row>
    <row r="10" spans="1:16" ht="20.100000000000001" customHeight="1">
      <c r="A10" s="356" t="s">
        <v>120</v>
      </c>
      <c r="B10" s="355"/>
      <c r="C10" s="711">
        <v>3</v>
      </c>
      <c r="D10" s="355"/>
      <c r="E10" s="413">
        <f>'3'!H11+'3'!J11</f>
        <v>1295482256977</v>
      </c>
      <c r="F10" s="413">
        <v>0</v>
      </c>
      <c r="G10" s="413">
        <f>'3'!L11+'3'!N11</f>
        <v>1063790661384</v>
      </c>
      <c r="H10" s="355"/>
      <c r="I10" s="357" t="s">
        <v>553</v>
      </c>
      <c r="J10" s="355"/>
      <c r="K10" s="711">
        <v>10</v>
      </c>
      <c r="L10" s="355"/>
      <c r="M10" s="413">
        <f>'10-12'!I10</f>
        <v>5285693828774</v>
      </c>
      <c r="N10" s="413"/>
      <c r="O10" s="413">
        <f>'10-12'!K10</f>
        <v>4467039720334</v>
      </c>
    </row>
    <row r="11" spans="1:16" ht="20.100000000000001" customHeight="1">
      <c r="A11" s="356" t="s">
        <v>594</v>
      </c>
      <c r="B11" s="355"/>
      <c r="C11" s="711">
        <v>4</v>
      </c>
      <c r="D11" s="355"/>
      <c r="E11" s="413">
        <f>'4'!M10</f>
        <v>2530083935065</v>
      </c>
      <c r="F11" s="413"/>
      <c r="G11" s="413">
        <f>'4'!O10</f>
        <v>1489820284759</v>
      </c>
      <c r="H11" s="355"/>
      <c r="I11" s="357" t="s">
        <v>476</v>
      </c>
      <c r="J11" s="355"/>
      <c r="K11" s="711">
        <v>11</v>
      </c>
      <c r="L11" s="355"/>
      <c r="M11" s="413">
        <f>'10-12'!E267</f>
        <v>156452646445</v>
      </c>
      <c r="N11" s="413"/>
      <c r="O11" s="413">
        <f>'10-12'!K267</f>
        <v>97405671445</v>
      </c>
      <c r="P11" s="467"/>
    </row>
    <row r="12" spans="1:16" ht="20.100000000000001" customHeight="1">
      <c r="A12" s="356" t="s">
        <v>474</v>
      </c>
      <c r="B12" s="355"/>
      <c r="C12" s="711">
        <v>5</v>
      </c>
      <c r="D12" s="355"/>
      <c r="E12" s="413">
        <f>'5'!M14</f>
        <v>834319047730</v>
      </c>
      <c r="F12" s="413"/>
      <c r="G12" s="413">
        <f>'5'!O14</f>
        <v>309340211624</v>
      </c>
      <c r="H12" s="355"/>
      <c r="I12" s="357" t="s">
        <v>956</v>
      </c>
      <c r="J12" s="355"/>
      <c r="K12" s="711">
        <v>12</v>
      </c>
      <c r="L12" s="355"/>
      <c r="M12" s="413">
        <v>0</v>
      </c>
      <c r="N12" s="413"/>
      <c r="O12" s="413">
        <v>9542897</v>
      </c>
    </row>
    <row r="13" spans="1:16" ht="20.100000000000001" customHeight="1">
      <c r="A13" s="356" t="s">
        <v>497</v>
      </c>
      <c r="B13" s="355"/>
      <c r="C13" s="711">
        <v>6</v>
      </c>
      <c r="D13" s="355"/>
      <c r="E13" s="413">
        <f>'6-7'!I13</f>
        <v>776023384632</v>
      </c>
      <c r="F13" s="413">
        <v>0</v>
      </c>
      <c r="G13" s="413">
        <f>'6-7'!K13</f>
        <v>696129573387</v>
      </c>
      <c r="H13" s="355"/>
      <c r="I13" s="518" t="s">
        <v>1025</v>
      </c>
      <c r="J13" s="355"/>
      <c r="K13" s="711">
        <v>13</v>
      </c>
      <c r="L13" s="355"/>
      <c r="M13" s="413">
        <f>('13-14'!L10)</f>
        <v>614068561718</v>
      </c>
      <c r="N13" s="413"/>
      <c r="O13" s="413">
        <f>'13-14'!N10</f>
        <v>517084036526</v>
      </c>
      <c r="P13" s="453"/>
    </row>
    <row r="14" spans="1:16" ht="20.100000000000001" customHeight="1">
      <c r="A14" s="356" t="s">
        <v>124</v>
      </c>
      <c r="B14" s="355"/>
      <c r="C14" s="711">
        <v>7</v>
      </c>
      <c r="D14" s="355"/>
      <c r="E14" s="413">
        <f>'6-7'!I37</f>
        <v>71665567362</v>
      </c>
      <c r="F14" s="413">
        <v>0</v>
      </c>
      <c r="G14" s="413">
        <f>'6-7'!K37</f>
        <v>174829123128</v>
      </c>
      <c r="H14" s="355"/>
      <c r="I14" s="357" t="s">
        <v>618</v>
      </c>
      <c r="K14" s="711">
        <v>14</v>
      </c>
      <c r="L14" s="355"/>
      <c r="M14" s="413">
        <f>'13-14'!L17</f>
        <v>294671941636</v>
      </c>
      <c r="N14" s="413"/>
      <c r="O14" s="413">
        <f>'13-14'!N17</f>
        <v>180193851864</v>
      </c>
    </row>
    <row r="15" spans="1:16" ht="20.100000000000001" customHeight="1">
      <c r="A15" s="358" t="s">
        <v>126</v>
      </c>
      <c r="C15" s="711"/>
      <c r="E15" s="415">
        <f>SUM(E10:E14)</f>
        <v>5507574191766</v>
      </c>
      <c r="G15" s="415">
        <f>SUM(G10:G14)</f>
        <v>3733909854282</v>
      </c>
      <c r="H15" s="355"/>
      <c r="I15" s="358" t="s">
        <v>125</v>
      </c>
      <c r="J15" s="355"/>
      <c r="K15" s="359"/>
      <c r="L15" s="355"/>
      <c r="M15" s="415">
        <f>SUM(M10:M14)</f>
        <v>6350886978573</v>
      </c>
      <c r="N15" s="413"/>
      <c r="O15" s="415">
        <f>SUM(O10:O14)</f>
        <v>5261732823066</v>
      </c>
    </row>
    <row r="16" spans="1:16" ht="20.100000000000001" customHeight="1">
      <c r="A16" s="353" t="s">
        <v>129</v>
      </c>
      <c r="B16" s="360"/>
      <c r="C16" s="711"/>
      <c r="D16" s="360"/>
      <c r="E16" s="416"/>
      <c r="F16" s="416"/>
      <c r="G16" s="416"/>
      <c r="H16" s="355"/>
      <c r="I16" s="353" t="s">
        <v>127</v>
      </c>
      <c r="J16" s="355"/>
      <c r="K16" s="359"/>
      <c r="L16" s="355"/>
      <c r="M16" s="413"/>
      <c r="N16" s="413"/>
      <c r="O16" s="413"/>
    </row>
    <row r="17" spans="1:16" ht="20.100000000000001" customHeight="1">
      <c r="A17" s="356" t="s">
        <v>131</v>
      </c>
      <c r="B17" s="360"/>
      <c r="C17" s="711">
        <v>8</v>
      </c>
      <c r="D17" s="360"/>
      <c r="E17" s="413">
        <f>'8-9'!AV18</f>
        <v>33781632415</v>
      </c>
      <c r="F17" s="413"/>
      <c r="G17" s="413">
        <f>'8-9'!AX18</f>
        <v>33705715495</v>
      </c>
      <c r="H17" s="354"/>
      <c r="I17" s="356" t="s">
        <v>477</v>
      </c>
      <c r="J17" s="355"/>
      <c r="K17" s="711">
        <v>15</v>
      </c>
      <c r="L17" s="355"/>
      <c r="M17" s="413">
        <f>'15'!D13</f>
        <v>0</v>
      </c>
      <c r="N17" s="413"/>
      <c r="O17" s="413">
        <f>'15'!H13</f>
        <v>81984404119</v>
      </c>
    </row>
    <row r="18" spans="1:16" ht="20.100000000000001" customHeight="1">
      <c r="A18" s="356" t="s">
        <v>552</v>
      </c>
      <c r="B18" s="355"/>
      <c r="C18" s="711">
        <v>9</v>
      </c>
      <c r="D18" s="355"/>
      <c r="E18" s="413">
        <f>'10'!AU20</f>
        <v>13683207214069</v>
      </c>
      <c r="F18" s="413">
        <v>0</v>
      </c>
      <c r="G18" s="413">
        <f>'10'!AW20</f>
        <v>12921420009398</v>
      </c>
      <c r="H18" s="354"/>
      <c r="I18" s="356" t="s">
        <v>77</v>
      </c>
      <c r="J18" s="355"/>
      <c r="K18" s="711">
        <v>16</v>
      </c>
      <c r="L18" s="355"/>
      <c r="M18" s="413">
        <f>'16-17-18'!S12</f>
        <v>5075730626470</v>
      </c>
      <c r="N18" s="413">
        <v>0</v>
      </c>
      <c r="O18" s="413">
        <f>'16-17-18'!U12</f>
        <v>4299838958956</v>
      </c>
    </row>
    <row r="19" spans="1:16" ht="20.100000000000001" customHeight="1">
      <c r="A19" s="356"/>
      <c r="B19" s="355"/>
      <c r="C19" s="519"/>
      <c r="D19" s="355"/>
      <c r="E19" s="413"/>
      <c r="F19" s="413"/>
      <c r="G19" s="413"/>
      <c r="H19" s="355"/>
      <c r="I19" s="356" t="s">
        <v>619</v>
      </c>
      <c r="J19" s="355"/>
      <c r="K19" s="711">
        <v>17</v>
      </c>
      <c r="L19" s="355"/>
      <c r="M19" s="413">
        <f>'16-17-18'!S31</f>
        <v>1696575904593</v>
      </c>
      <c r="N19" s="413"/>
      <c r="O19" s="413">
        <f>'16-17-18'!U31</f>
        <v>1508277118971</v>
      </c>
      <c r="P19" s="470"/>
    </row>
    <row r="20" spans="1:16" ht="20.100000000000001" customHeight="1">
      <c r="A20" s="358" t="s">
        <v>137</v>
      </c>
      <c r="E20" s="415">
        <f>SUM(E17:E19)</f>
        <v>13716988846484</v>
      </c>
      <c r="F20" s="414"/>
      <c r="G20" s="415">
        <f>SUM(G17:G19)</f>
        <v>12955125724893</v>
      </c>
      <c r="H20" s="355"/>
      <c r="I20" s="358" t="s">
        <v>133</v>
      </c>
      <c r="J20" s="355"/>
      <c r="K20" s="711"/>
      <c r="L20" s="355"/>
      <c r="M20" s="415">
        <f>SUM(M17:M19)</f>
        <v>6772306531063</v>
      </c>
      <c r="N20" s="413"/>
      <c r="O20" s="415">
        <f>SUM(O17:O19)</f>
        <v>5890100482046</v>
      </c>
    </row>
    <row r="21" spans="1:16" ht="20.100000000000001" customHeight="1">
      <c r="A21" s="358"/>
      <c r="B21" s="355"/>
      <c r="C21" s="359"/>
      <c r="D21" s="355"/>
      <c r="E21" s="413"/>
      <c r="F21" s="413"/>
      <c r="G21" s="413"/>
      <c r="H21" s="355"/>
      <c r="I21" s="358" t="s">
        <v>479</v>
      </c>
      <c r="J21" s="355"/>
      <c r="K21" s="355"/>
      <c r="L21" s="355"/>
      <c r="M21" s="417">
        <f>M15+M20</f>
        <v>13123193509636</v>
      </c>
      <c r="N21" s="413"/>
      <c r="O21" s="417">
        <f>O15+O20</f>
        <v>11151833305112</v>
      </c>
      <c r="P21" s="470"/>
    </row>
    <row r="22" spans="1:16" ht="20.100000000000001" customHeight="1">
      <c r="A22" s="356"/>
      <c r="B22" s="355"/>
      <c r="C22" s="355"/>
      <c r="D22" s="355"/>
      <c r="E22" s="413">
        <f>E15/M15</f>
        <v>0.867213384578844</v>
      </c>
      <c r="F22" s="413"/>
      <c r="G22" s="413"/>
      <c r="H22" s="355"/>
      <c r="I22" s="361" t="s">
        <v>135</v>
      </c>
      <c r="J22" s="355"/>
      <c r="K22" s="711"/>
      <c r="L22" s="355"/>
      <c r="M22" s="413"/>
      <c r="N22" s="413"/>
      <c r="O22" s="413"/>
    </row>
    <row r="23" spans="1:16" ht="20.100000000000001" customHeight="1">
      <c r="A23" s="356"/>
      <c r="B23" s="355"/>
      <c r="C23" s="355"/>
      <c r="D23" s="355"/>
      <c r="E23" s="413"/>
      <c r="F23" s="413"/>
      <c r="G23" s="413"/>
      <c r="H23" s="355"/>
      <c r="I23" s="356" t="s">
        <v>480</v>
      </c>
      <c r="J23" s="355"/>
      <c r="K23" s="711">
        <v>18</v>
      </c>
      <c r="L23" s="355"/>
      <c r="M23" s="413">
        <f>'16-17-18'!S54</f>
        <v>1517479060199</v>
      </c>
      <c r="N23" s="413"/>
      <c r="O23" s="413">
        <f>'16-17-18'!U54</f>
        <v>1618432281244</v>
      </c>
    </row>
    <row r="24" spans="1:16" ht="20.100000000000001" customHeight="1">
      <c r="E24" s="414"/>
      <c r="F24" s="414"/>
      <c r="G24" s="414"/>
      <c r="H24" s="355"/>
      <c r="I24" s="356" t="s">
        <v>1142</v>
      </c>
      <c r="J24" s="355"/>
      <c r="K24" s="711"/>
      <c r="L24" s="355"/>
      <c r="M24" s="413">
        <f>'صورت تغییرات در ارزش خالص'!G19</f>
        <v>4583890468415</v>
      </c>
      <c r="N24" s="413"/>
      <c r="O24" s="413">
        <f>'صورت تغییرات در ارزش خالص'!K19</f>
        <v>3918769992819</v>
      </c>
    </row>
    <row r="25" spans="1:16" ht="20.100000000000001" customHeight="1">
      <c r="E25" s="414"/>
      <c r="F25" s="414"/>
      <c r="G25" s="414"/>
      <c r="H25" s="355"/>
      <c r="I25" s="358" t="s">
        <v>496</v>
      </c>
      <c r="J25" s="355"/>
      <c r="K25" s="355"/>
      <c r="L25" s="355"/>
      <c r="M25" s="415">
        <f>SUM(M23:M24)</f>
        <v>6101369528614</v>
      </c>
      <c r="N25" s="413"/>
      <c r="O25" s="415">
        <f>SUM(O23:O24)</f>
        <v>5537202274063</v>
      </c>
    </row>
    <row r="26" spans="1:16" ht="20.100000000000001" customHeight="1" thickBot="1">
      <c r="A26" s="358" t="s">
        <v>139</v>
      </c>
      <c r="B26" s="355"/>
      <c r="C26" s="355"/>
      <c r="D26" s="355"/>
      <c r="E26" s="418">
        <f>E15+E20</f>
        <v>19224563038250</v>
      </c>
      <c r="F26" s="413"/>
      <c r="G26" s="418">
        <f>G20+G15</f>
        <v>16689035579175</v>
      </c>
      <c r="H26" s="355"/>
      <c r="I26" s="358" t="s">
        <v>140</v>
      </c>
      <c r="J26" s="355"/>
      <c r="K26" s="355"/>
      <c r="L26" s="355"/>
      <c r="M26" s="418">
        <f>M21+M25</f>
        <v>19224563038250</v>
      </c>
      <c r="N26" s="413"/>
      <c r="O26" s="418">
        <f>O21+O25</f>
        <v>16689035579175</v>
      </c>
    </row>
    <row r="27" spans="1:16" ht="20.100000000000001" customHeight="1" thickTop="1">
      <c r="H27" s="355"/>
    </row>
    <row r="28" spans="1:16" ht="20.100000000000001" customHeight="1">
      <c r="H28" s="355"/>
    </row>
    <row r="29" spans="1:16" ht="20.100000000000001" customHeight="1">
      <c r="A29" s="746" t="s">
        <v>617</v>
      </c>
      <c r="B29" s="746"/>
      <c r="C29" s="746"/>
      <c r="D29" s="746"/>
      <c r="E29" s="746"/>
      <c r="F29" s="746"/>
      <c r="G29" s="746"/>
      <c r="H29" s="746"/>
      <c r="I29" s="746"/>
      <c r="J29" s="746"/>
      <c r="K29" s="746"/>
      <c r="L29" s="746"/>
      <c r="M29" s="746"/>
      <c r="N29" s="746"/>
      <c r="O29" s="746"/>
    </row>
    <row r="31" spans="1:16">
      <c r="M31" s="197">
        <f>M26-E26</f>
        <v>0</v>
      </c>
      <c r="O31" s="197">
        <f>O26-G26</f>
        <v>0</v>
      </c>
    </row>
    <row r="35" spans="40:43">
      <c r="AN35" s="362"/>
      <c r="AO35" s="362"/>
      <c r="AP35" s="362"/>
      <c r="AQ35" s="362"/>
    </row>
  </sheetData>
  <mergeCells count="5">
    <mergeCell ref="A3:O3"/>
    <mergeCell ref="A1:O1"/>
    <mergeCell ref="A2:O2"/>
    <mergeCell ref="F5:H5"/>
    <mergeCell ref="A29:O29"/>
  </mergeCells>
  <hyperlinks>
    <hyperlink ref="C10" location="'3'!Print_Area" display="'3'!Print_Area"/>
    <hyperlink ref="C11" location="'4'!Print_Titles" display="'4'!Print_Titles"/>
    <hyperlink ref="C12" location="'5'!A1" display="'5'!A1"/>
    <hyperlink ref="C13" location="'6-7'!A1" display="'6-7'!A1"/>
    <hyperlink ref="K10" location="'11-14'!A1" display="'11-14'!A1"/>
    <hyperlink ref="K11" location="'11-14'!A1" display="'11-14'!A1"/>
    <hyperlink ref="K17" location="'16'!A1" display="'16'!A1"/>
    <hyperlink ref="K18" location="'17-18'!A1" display="'17-18'!A1"/>
    <hyperlink ref="C14" location="_8_پيش‌پرداخت‌ها" display="_8_پيش‌پرداخت‌ها"/>
    <hyperlink ref="C17" location="'8-9'!A1" display="'8-9'!A1"/>
    <hyperlink ref="C18" location="'8-9'!A1" display="'8-9'!A1"/>
    <hyperlink ref="K12" location="'11-14'!A1" display="'11-14'!A1"/>
    <hyperlink ref="K13" location="'11-14'!A1" display="'11-14'!A1"/>
    <hyperlink ref="K14" location="'15'!A1" display="'15'!A1"/>
    <hyperlink ref="K19" location="'17-18'!A1" display="'17-18'!A1"/>
  </hyperlinks>
  <printOptions horizontalCentered="1"/>
  <pageMargins left="3.937007874015748E-2" right="3.937007874015748E-2" top="0.42937007874015748" bottom="3.937007874015748E-2" header="3.937007874015748E-2" footer="3.937007874015748E-2"/>
  <pageSetup scale="74" orientation="landscape" r:id="rId1"/>
  <headerFooter>
    <oddFooter>&amp;C&amp;"B Nazanin,Bold"2</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9"/>
  <sheetViews>
    <sheetView rightToLeft="1" view="pageBreakPreview" zoomScaleNormal="80" zoomScaleSheetLayoutView="100" zoomScalePageLayoutView="70" workbookViewId="0">
      <selection activeCell="B40" sqref="B40"/>
    </sheetView>
  </sheetViews>
  <sheetFormatPr defaultColWidth="9" defaultRowHeight="19.5"/>
  <cols>
    <col min="1" max="1" width="9" style="118"/>
    <col min="2" max="2" width="18.28515625" style="118" customWidth="1"/>
    <col min="3" max="3" width="0.42578125" style="118" customWidth="1"/>
    <col min="4" max="4" width="20.42578125" style="118" customWidth="1"/>
    <col min="5" max="5" width="0.7109375" style="118" customWidth="1"/>
    <col min="6" max="6" width="22.7109375" style="118" customWidth="1"/>
    <col min="7" max="7" width="0.42578125" style="118" customWidth="1"/>
    <col min="8" max="8" width="26.85546875" style="118" customWidth="1"/>
    <col min="9" max="9" width="0.42578125" style="118" customWidth="1"/>
    <col min="10" max="10" width="21.85546875" style="118" customWidth="1"/>
    <col min="11" max="11" width="0.5703125" style="118" customWidth="1"/>
    <col min="12" max="12" width="17.7109375" style="118" customWidth="1"/>
    <col min="13" max="13" width="0.42578125" style="118" customWidth="1"/>
    <col min="14" max="14" width="24.140625" style="118" bestFit="1" customWidth="1"/>
    <col min="15" max="15" width="0.5703125" style="118" customWidth="1"/>
    <col min="16" max="16" width="19.140625" style="118" customWidth="1"/>
    <col min="17" max="17" width="0.42578125" style="118" customWidth="1"/>
    <col min="18" max="18" width="14.28515625" style="118" hidden="1" customWidth="1"/>
    <col min="19" max="19" width="0.85546875" style="118" hidden="1" customWidth="1"/>
    <col min="20" max="20" width="13.85546875" style="118" hidden="1" customWidth="1"/>
    <col min="21" max="21" width="0.42578125" style="118" hidden="1" customWidth="1"/>
    <col min="22" max="22" width="12.42578125" style="118" hidden="1" customWidth="1"/>
    <col min="23" max="23" width="0.42578125" style="118" hidden="1" customWidth="1"/>
    <col min="24" max="24" width="13" style="118" hidden="1" customWidth="1"/>
    <col min="25" max="25" width="0.42578125" style="118" hidden="1" customWidth="1"/>
    <col min="26" max="26" width="0" style="118" hidden="1" customWidth="1"/>
    <col min="27" max="27" width="0.140625" style="118" customWidth="1"/>
    <col min="28" max="28" width="16.42578125" style="118" customWidth="1"/>
    <col min="29" max="29" width="0.42578125" style="118" customWidth="1"/>
    <col min="30" max="30" width="16.42578125" style="118" customWidth="1"/>
    <col min="31" max="31" width="0.42578125" style="118" customWidth="1"/>
    <col min="32" max="32" width="18.7109375" style="118" customWidth="1"/>
    <col min="33" max="33" width="0.42578125" style="118" customWidth="1"/>
    <col min="34" max="34" width="16.42578125" style="118" customWidth="1"/>
    <col min="35" max="43" width="9" style="118"/>
    <col min="44" max="44" width="21.140625" style="118" customWidth="1"/>
    <col min="45" max="16384" width="9" style="118"/>
  </cols>
  <sheetData>
    <row r="1" spans="1:34" s="1" customFormat="1" ht="21.75" customHeight="1">
      <c r="A1" s="765" t="str">
        <f>مفروضات!$C$1</f>
        <v>دانشگاه علوم پزشکی و خدمات بهداشتی درمانی سمنان</v>
      </c>
      <c r="B1" s="765"/>
      <c r="C1" s="765"/>
      <c r="D1" s="765"/>
      <c r="E1" s="765"/>
      <c r="F1" s="765"/>
      <c r="G1" s="765"/>
      <c r="H1" s="765"/>
      <c r="I1" s="765"/>
      <c r="J1" s="765"/>
      <c r="K1" s="765"/>
      <c r="L1" s="765"/>
      <c r="M1" s="765"/>
      <c r="N1" s="765"/>
      <c r="O1" s="765"/>
      <c r="P1" s="765"/>
      <c r="Q1" s="765"/>
      <c r="R1" s="765"/>
      <c r="S1" s="765"/>
      <c r="T1" s="765"/>
      <c r="U1" s="765"/>
      <c r="V1" s="765"/>
      <c r="W1" s="765"/>
      <c r="X1" s="765"/>
      <c r="Y1" s="765"/>
      <c r="Z1" s="765"/>
      <c r="AA1" s="765"/>
      <c r="AB1" s="765"/>
      <c r="AC1" s="765"/>
      <c r="AD1" s="765"/>
      <c r="AE1" s="765"/>
      <c r="AF1" s="765"/>
      <c r="AG1" s="765"/>
      <c r="AH1" s="765"/>
    </row>
    <row r="2" spans="1:34" s="26" customFormat="1" ht="21">
      <c r="A2" s="767" t="s">
        <v>33</v>
      </c>
      <c r="B2" s="767"/>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row>
    <row r="3" spans="1:34" s="1" customFormat="1" ht="21.75" customHeight="1">
      <c r="A3" s="767" t="str">
        <f>مفروضات!$C$7</f>
        <v>سال مالي منتهي به 29 اسفند ماه 1402</v>
      </c>
      <c r="B3" s="767"/>
      <c r="C3" s="767"/>
      <c r="D3" s="767"/>
      <c r="E3" s="767"/>
      <c r="F3" s="767"/>
      <c r="G3" s="767"/>
      <c r="H3" s="767"/>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row>
    <row r="4" spans="1:34" s="1" customFormat="1" ht="3" customHeight="1">
      <c r="A4" s="6"/>
      <c r="B4" s="117"/>
      <c r="C4" s="117"/>
      <c r="D4" s="117"/>
      <c r="E4" s="117"/>
      <c r="F4" s="117"/>
      <c r="G4" s="117"/>
      <c r="H4" s="117"/>
      <c r="I4" s="117"/>
      <c r="J4" s="26"/>
    </row>
    <row r="5" spans="1:34" ht="21">
      <c r="A5" s="935" t="s">
        <v>1423</v>
      </c>
      <c r="B5" s="935"/>
      <c r="C5" s="935"/>
      <c r="D5" s="935"/>
      <c r="E5" s="935"/>
      <c r="F5" s="935"/>
      <c r="G5" s="935"/>
      <c r="H5" s="935"/>
    </row>
    <row r="6" spans="1:34" ht="24.75">
      <c r="A6" s="937" t="s">
        <v>1424</v>
      </c>
      <c r="B6" s="937"/>
      <c r="C6" s="937"/>
      <c r="D6" s="937"/>
      <c r="E6" s="937"/>
      <c r="F6" s="937"/>
      <c r="G6" s="937"/>
      <c r="H6" s="937"/>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row>
    <row r="7" spans="1:34" ht="24.75">
      <c r="A7" s="936" t="s">
        <v>66</v>
      </c>
      <c r="B7" s="936"/>
      <c r="C7" s="121"/>
      <c r="D7" s="209" t="s">
        <v>1158</v>
      </c>
      <c r="E7" s="121"/>
      <c r="F7" s="936" t="s">
        <v>1159</v>
      </c>
      <c r="G7" s="936"/>
      <c r="H7" s="936"/>
      <c r="I7" s="121"/>
      <c r="J7" s="209" t="s">
        <v>1160</v>
      </c>
      <c r="L7" s="209" t="s">
        <v>1161</v>
      </c>
      <c r="M7" s="121"/>
      <c r="N7" s="209" t="s">
        <v>1162</v>
      </c>
      <c r="O7" s="121"/>
      <c r="P7" s="121"/>
      <c r="Q7" s="121"/>
      <c r="R7" s="121"/>
      <c r="S7" s="121"/>
      <c r="T7" s="121"/>
      <c r="U7" s="121"/>
      <c r="V7" s="121"/>
      <c r="W7" s="121"/>
      <c r="X7" s="121"/>
      <c r="Y7" s="121"/>
      <c r="Z7" s="121"/>
      <c r="AA7" s="121"/>
      <c r="AB7" s="121"/>
      <c r="AC7" s="121"/>
      <c r="AD7" s="121"/>
      <c r="AE7" s="121"/>
      <c r="AF7" s="121"/>
      <c r="AG7" s="121"/>
      <c r="AH7" s="121"/>
    </row>
    <row r="8" spans="1:34" ht="27">
      <c r="A8" s="941" t="s">
        <v>1166</v>
      </c>
      <c r="B8" s="941"/>
      <c r="C8" s="121"/>
      <c r="D8" s="148" t="s">
        <v>769</v>
      </c>
      <c r="E8" s="121"/>
      <c r="F8" s="944" t="s">
        <v>1163</v>
      </c>
      <c r="G8" s="944"/>
      <c r="H8" s="944"/>
      <c r="I8" s="121"/>
      <c r="J8" s="645">
        <v>483545643599</v>
      </c>
      <c r="K8" s="646"/>
      <c r="L8" s="645">
        <v>50592612000</v>
      </c>
      <c r="M8" s="646"/>
      <c r="N8" s="647">
        <v>0</v>
      </c>
      <c r="O8" s="121"/>
      <c r="P8" s="121"/>
      <c r="Q8" s="121"/>
      <c r="R8" s="121"/>
      <c r="S8" s="121"/>
      <c r="T8" s="121"/>
      <c r="U8" s="121"/>
      <c r="V8" s="121"/>
      <c r="W8" s="121"/>
      <c r="X8" s="121"/>
      <c r="Y8" s="121"/>
      <c r="Z8" s="121"/>
      <c r="AA8" s="121"/>
      <c r="AB8" s="121"/>
      <c r="AC8" s="121"/>
      <c r="AD8" s="121"/>
      <c r="AE8" s="121"/>
      <c r="AF8" s="121"/>
      <c r="AG8" s="121"/>
      <c r="AH8" s="121"/>
    </row>
    <row r="9" spans="1:34" ht="27">
      <c r="A9" s="941" t="s">
        <v>1166</v>
      </c>
      <c r="B9" s="941"/>
      <c r="C9" s="121"/>
      <c r="D9" s="148" t="s">
        <v>911</v>
      </c>
      <c r="E9" s="121"/>
      <c r="F9" s="945" t="s">
        <v>1164</v>
      </c>
      <c r="G9" s="945"/>
      <c r="H9" s="945"/>
      <c r="I9" s="121"/>
      <c r="J9" s="645">
        <v>1118048007266</v>
      </c>
      <c r="K9" s="646"/>
      <c r="L9" s="647">
        <v>0</v>
      </c>
      <c r="M9" s="646"/>
      <c r="N9" s="647">
        <v>0</v>
      </c>
      <c r="O9" s="121"/>
      <c r="P9" s="121"/>
      <c r="Q9" s="121"/>
      <c r="R9" s="121"/>
      <c r="S9" s="121"/>
      <c r="T9" s="121"/>
      <c r="U9" s="121"/>
      <c r="V9" s="121"/>
      <c r="W9" s="121"/>
      <c r="X9" s="121"/>
      <c r="Y9" s="121"/>
      <c r="Z9" s="121"/>
      <c r="AA9" s="121"/>
      <c r="AB9" s="121"/>
      <c r="AC9" s="121"/>
      <c r="AD9" s="121"/>
      <c r="AE9" s="121"/>
      <c r="AF9" s="121"/>
      <c r="AG9" s="121"/>
      <c r="AH9" s="121"/>
    </row>
    <row r="10" spans="1:34" ht="27">
      <c r="A10" s="941" t="s">
        <v>1166</v>
      </c>
      <c r="B10" s="941"/>
      <c r="C10" s="121"/>
      <c r="D10" s="148" t="s">
        <v>768</v>
      </c>
      <c r="E10" s="121"/>
      <c r="F10" s="945" t="s">
        <v>1172</v>
      </c>
      <c r="G10" s="945"/>
      <c r="H10" s="945"/>
      <c r="I10" s="121"/>
      <c r="J10" s="647">
        <v>0</v>
      </c>
      <c r="K10" s="646"/>
      <c r="L10" s="645">
        <v>144068010280</v>
      </c>
      <c r="M10" s="646"/>
      <c r="N10" s="645">
        <v>14288051748</v>
      </c>
      <c r="O10" s="121"/>
      <c r="P10" s="121"/>
      <c r="Q10" s="121"/>
      <c r="R10" s="121"/>
      <c r="S10" s="121"/>
      <c r="T10" s="121"/>
      <c r="U10" s="121"/>
      <c r="V10" s="121"/>
      <c r="W10" s="121"/>
      <c r="X10" s="121"/>
      <c r="Y10" s="121"/>
      <c r="Z10" s="121"/>
      <c r="AA10" s="121"/>
      <c r="AB10" s="121"/>
      <c r="AC10" s="121"/>
      <c r="AD10" s="121"/>
      <c r="AE10" s="121"/>
      <c r="AF10" s="121"/>
      <c r="AG10" s="121"/>
      <c r="AH10" s="121"/>
    </row>
    <row r="11" spans="1:34" ht="27">
      <c r="A11" s="941" t="s">
        <v>1166</v>
      </c>
      <c r="B11" s="941"/>
      <c r="C11" s="121"/>
      <c r="D11" s="148" t="s">
        <v>1167</v>
      </c>
      <c r="E11" s="121"/>
      <c r="F11" s="945" t="s">
        <v>1165</v>
      </c>
      <c r="G11" s="945"/>
      <c r="H11" s="945"/>
      <c r="I11" s="121"/>
      <c r="J11" s="645">
        <v>324000000000</v>
      </c>
      <c r="K11" s="646"/>
      <c r="L11" s="647">
        <v>0</v>
      </c>
      <c r="M11" s="646"/>
      <c r="N11" s="647">
        <v>0</v>
      </c>
      <c r="O11" s="121"/>
      <c r="P11" s="121"/>
      <c r="Q11" s="121"/>
      <c r="R11" s="121"/>
      <c r="S11" s="121"/>
      <c r="T11" s="121"/>
      <c r="U11" s="121"/>
      <c r="V11" s="121"/>
      <c r="W11" s="121"/>
      <c r="X11" s="121"/>
      <c r="Y11" s="121"/>
      <c r="Z11" s="121"/>
      <c r="AA11" s="121"/>
      <c r="AB11" s="121"/>
      <c r="AC11" s="121"/>
      <c r="AD11" s="121"/>
      <c r="AE11" s="121"/>
      <c r="AF11" s="121"/>
      <c r="AG11" s="121"/>
      <c r="AH11" s="121"/>
    </row>
    <row r="12" spans="1:34" ht="27.75" thickBot="1">
      <c r="A12" s="121"/>
      <c r="B12" s="121"/>
      <c r="C12" s="121"/>
      <c r="D12" s="121"/>
      <c r="E12" s="121"/>
      <c r="F12" s="121"/>
      <c r="G12" s="121"/>
      <c r="H12" s="121"/>
      <c r="I12" s="121"/>
      <c r="J12" s="648">
        <f>SUM(J8:J11)</f>
        <v>1925593650865</v>
      </c>
      <c r="K12" s="646"/>
      <c r="L12" s="648">
        <f>SUM(L8:L11)</f>
        <v>194660622280</v>
      </c>
      <c r="M12" s="646"/>
      <c r="N12" s="648">
        <f>SUM(N8:N11)</f>
        <v>14288051748</v>
      </c>
      <c r="O12" s="121"/>
      <c r="P12" s="121"/>
      <c r="Q12" s="121"/>
      <c r="R12" s="121"/>
      <c r="S12" s="121"/>
      <c r="T12" s="121"/>
      <c r="U12" s="121"/>
      <c r="V12" s="121"/>
      <c r="W12" s="121"/>
      <c r="X12" s="121"/>
      <c r="Y12" s="121"/>
      <c r="Z12" s="121"/>
      <c r="AA12" s="121"/>
      <c r="AB12" s="121"/>
      <c r="AC12" s="121"/>
      <c r="AD12" s="121"/>
      <c r="AE12" s="121"/>
      <c r="AF12" s="121"/>
      <c r="AG12" s="121"/>
      <c r="AH12" s="121"/>
    </row>
    <row r="13" spans="1:34" ht="25.5" thickTop="1">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row>
    <row r="14" spans="1:34" ht="24.75">
      <c r="A14" s="937" t="s">
        <v>1425</v>
      </c>
      <c r="B14" s="937"/>
      <c r="C14" s="937"/>
      <c r="D14" s="937"/>
      <c r="E14" s="937"/>
      <c r="F14" s="937"/>
      <c r="G14" s="937"/>
      <c r="H14" s="937"/>
      <c r="I14" s="937"/>
      <c r="J14" s="937"/>
      <c r="K14" s="937"/>
      <c r="L14" s="937"/>
      <c r="M14" s="937"/>
      <c r="N14" s="937"/>
      <c r="O14" s="937"/>
      <c r="P14" s="937"/>
      <c r="Q14" s="937"/>
      <c r="R14" s="937"/>
      <c r="S14" s="937"/>
      <c r="T14" s="937"/>
      <c r="U14" s="937"/>
      <c r="V14" s="937"/>
      <c r="W14" s="937"/>
      <c r="X14" s="937"/>
      <c r="Y14" s="937"/>
      <c r="Z14" s="937"/>
      <c r="AA14" s="937"/>
      <c r="AB14" s="937"/>
      <c r="AC14" s="937"/>
      <c r="AD14" s="937"/>
      <c r="AE14" s="121"/>
      <c r="AF14" s="121"/>
      <c r="AG14" s="121"/>
      <c r="AH14" s="121"/>
    </row>
    <row r="15" spans="1:34" s="208" customFormat="1" ht="21">
      <c r="H15" s="932" t="s">
        <v>342</v>
      </c>
      <c r="J15" s="932" t="s">
        <v>343</v>
      </c>
      <c r="L15" s="934" t="s">
        <v>344</v>
      </c>
      <c r="N15" s="934" t="s">
        <v>341</v>
      </c>
      <c r="P15" s="932" t="s">
        <v>346</v>
      </c>
      <c r="R15" s="932" t="s">
        <v>345</v>
      </c>
      <c r="T15" s="932" t="s">
        <v>347</v>
      </c>
      <c r="V15" s="932" t="s">
        <v>348</v>
      </c>
      <c r="X15" s="932" t="s">
        <v>349</v>
      </c>
      <c r="Z15" s="931">
        <v>0</v>
      </c>
      <c r="AB15" s="934">
        <v>1402</v>
      </c>
      <c r="AC15" s="934"/>
      <c r="AD15" s="934"/>
      <c r="AF15" s="934">
        <v>1401</v>
      </c>
      <c r="AG15" s="934"/>
      <c r="AH15" s="934"/>
    </row>
    <row r="16" spans="1:34" s="208" customFormat="1" ht="21">
      <c r="H16" s="932"/>
      <c r="J16" s="932"/>
      <c r="L16" s="934"/>
      <c r="N16" s="934"/>
      <c r="P16" s="932"/>
      <c r="R16" s="932"/>
      <c r="T16" s="932"/>
      <c r="V16" s="932"/>
      <c r="X16" s="932"/>
      <c r="Z16" s="932"/>
      <c r="AB16" s="934" t="s">
        <v>26</v>
      </c>
      <c r="AC16" s="934"/>
      <c r="AD16" s="934"/>
      <c r="AF16" s="934" t="s">
        <v>26</v>
      </c>
      <c r="AG16" s="934"/>
      <c r="AH16" s="934"/>
    </row>
    <row r="17" spans="1:44" s="208" customFormat="1" ht="21">
      <c r="A17" s="936" t="s">
        <v>66</v>
      </c>
      <c r="B17" s="936"/>
      <c r="D17" s="209" t="s">
        <v>339</v>
      </c>
      <c r="F17" s="209" t="s">
        <v>340</v>
      </c>
      <c r="H17" s="933"/>
      <c r="J17" s="933"/>
      <c r="L17" s="936"/>
      <c r="N17" s="936"/>
      <c r="P17" s="933"/>
      <c r="R17" s="933"/>
      <c r="T17" s="933"/>
      <c r="V17" s="933"/>
      <c r="X17" s="933"/>
      <c r="Z17" s="933"/>
      <c r="AB17" s="209" t="s">
        <v>350</v>
      </c>
      <c r="AC17" s="209"/>
      <c r="AD17" s="209" t="s">
        <v>351</v>
      </c>
      <c r="AF17" s="209" t="s">
        <v>350</v>
      </c>
      <c r="AG17" s="209"/>
      <c r="AH17" s="209" t="s">
        <v>351</v>
      </c>
    </row>
    <row r="18" spans="1:44" ht="30.75">
      <c r="A18" s="940" t="s">
        <v>1166</v>
      </c>
      <c r="B18" s="940"/>
      <c r="C18" s="121"/>
      <c r="D18" s="148" t="s">
        <v>911</v>
      </c>
      <c r="E18" s="121"/>
      <c r="F18" s="342" t="s">
        <v>925</v>
      </c>
      <c r="G18" s="121"/>
      <c r="H18" s="649">
        <f>'4'!E56+'4'!E30</f>
        <v>531407642422</v>
      </c>
      <c r="I18" s="650"/>
      <c r="J18" s="651">
        <v>0</v>
      </c>
      <c r="K18" s="652"/>
      <c r="L18" s="651">
        <v>0</v>
      </c>
      <c r="M18" s="652"/>
      <c r="N18" s="651">
        <v>0</v>
      </c>
      <c r="O18" s="651">
        <v>0</v>
      </c>
      <c r="P18" s="651">
        <v>0</v>
      </c>
      <c r="Q18" s="651">
        <v>0</v>
      </c>
      <c r="R18" s="651">
        <v>0</v>
      </c>
      <c r="S18" s="652"/>
      <c r="T18" s="651">
        <v>0</v>
      </c>
      <c r="U18" s="652"/>
      <c r="V18" s="651">
        <v>0</v>
      </c>
      <c r="W18" s="652"/>
      <c r="X18" s="651">
        <v>0</v>
      </c>
      <c r="Y18" s="652"/>
      <c r="Z18" s="651">
        <v>0</v>
      </c>
      <c r="AA18" s="652"/>
      <c r="AB18" s="649">
        <f>H18</f>
        <v>531407642422</v>
      </c>
      <c r="AC18" s="652"/>
      <c r="AD18" s="651">
        <v>0</v>
      </c>
      <c r="AE18" s="652"/>
      <c r="AF18" s="649">
        <v>335266000000</v>
      </c>
      <c r="AG18" s="653"/>
      <c r="AH18" s="654">
        <v>0</v>
      </c>
      <c r="AK18" s="940" t="s">
        <v>338</v>
      </c>
      <c r="AL18" s="940"/>
      <c r="AM18" s="121"/>
      <c r="AN18" s="148" t="s">
        <v>911</v>
      </c>
      <c r="AO18" s="121"/>
      <c r="AP18" s="342" t="s">
        <v>925</v>
      </c>
      <c r="AQ18" s="121"/>
      <c r="AR18" s="148">
        <v>1118048007266</v>
      </c>
    </row>
    <row r="19" spans="1:44" ht="30.75">
      <c r="A19" s="941" t="s">
        <v>1166</v>
      </c>
      <c r="B19" s="941"/>
      <c r="C19" s="121"/>
      <c r="D19" s="148" t="s">
        <v>769</v>
      </c>
      <c r="E19" s="121"/>
      <c r="F19" s="148" t="s">
        <v>43</v>
      </c>
      <c r="G19" s="121"/>
      <c r="H19" s="649">
        <f>'4'!E22+'4'!E21</f>
        <v>205891471108</v>
      </c>
      <c r="I19" s="650"/>
      <c r="J19" s="651">
        <v>0</v>
      </c>
      <c r="K19" s="652"/>
      <c r="L19" s="651">
        <v>0</v>
      </c>
      <c r="M19" s="652"/>
      <c r="N19" s="651">
        <v>0</v>
      </c>
      <c r="O19" s="651">
        <v>0</v>
      </c>
      <c r="P19" s="651">
        <v>0</v>
      </c>
      <c r="Q19" s="651">
        <v>0</v>
      </c>
      <c r="R19" s="651">
        <v>0</v>
      </c>
      <c r="S19" s="652"/>
      <c r="T19" s="651">
        <v>0</v>
      </c>
      <c r="U19" s="652"/>
      <c r="V19" s="651">
        <v>0</v>
      </c>
      <c r="W19" s="652"/>
      <c r="X19" s="651">
        <v>0</v>
      </c>
      <c r="Y19" s="652"/>
      <c r="Z19" s="651">
        <v>0</v>
      </c>
      <c r="AA19" s="652"/>
      <c r="AB19" s="649">
        <f>H19</f>
        <v>205891471108</v>
      </c>
      <c r="AC19" s="652"/>
      <c r="AD19" s="651">
        <v>0</v>
      </c>
      <c r="AE19" s="652"/>
      <c r="AF19" s="654">
        <v>88210235489</v>
      </c>
      <c r="AG19" s="653"/>
      <c r="AH19" s="654">
        <v>0</v>
      </c>
      <c r="AK19" s="941" t="s">
        <v>338</v>
      </c>
      <c r="AL19" s="941"/>
      <c r="AM19" s="121"/>
      <c r="AN19" s="148" t="s">
        <v>769</v>
      </c>
      <c r="AO19" s="121"/>
      <c r="AP19" s="148" t="s">
        <v>43</v>
      </c>
      <c r="AQ19" s="121"/>
      <c r="AR19" s="148">
        <v>588305663586</v>
      </c>
    </row>
    <row r="20" spans="1:44" ht="30.75">
      <c r="A20" s="941" t="s">
        <v>1166</v>
      </c>
      <c r="B20" s="941"/>
      <c r="C20" s="121"/>
      <c r="D20" s="148" t="s">
        <v>768</v>
      </c>
      <c r="E20" s="121"/>
      <c r="F20" s="342" t="s">
        <v>925</v>
      </c>
      <c r="G20" s="121"/>
      <c r="H20" s="649">
        <v>191600000</v>
      </c>
      <c r="I20" s="650"/>
      <c r="J20" s="651">
        <v>0</v>
      </c>
      <c r="K20" s="652"/>
      <c r="L20" s="655">
        <v>41695086352</v>
      </c>
      <c r="M20" s="652"/>
      <c r="N20" s="651">
        <v>0</v>
      </c>
      <c r="O20" s="651">
        <v>0</v>
      </c>
      <c r="P20" s="656">
        <v>-24784618360</v>
      </c>
      <c r="Q20" s="651">
        <v>0</v>
      </c>
      <c r="R20" s="651">
        <v>0</v>
      </c>
      <c r="S20" s="652"/>
      <c r="T20" s="651">
        <v>0</v>
      </c>
      <c r="U20" s="652"/>
      <c r="V20" s="651">
        <v>0</v>
      </c>
      <c r="W20" s="652"/>
      <c r="X20" s="651">
        <v>0</v>
      </c>
      <c r="Y20" s="652"/>
      <c r="Z20" s="651">
        <v>0</v>
      </c>
      <c r="AA20" s="652"/>
      <c r="AB20" s="649">
        <f>L20+H20</f>
        <v>41886686352</v>
      </c>
      <c r="AC20" s="652"/>
      <c r="AD20" s="656">
        <v>-24784618360</v>
      </c>
      <c r="AE20" s="652"/>
      <c r="AF20" s="654">
        <v>192000000</v>
      </c>
      <c r="AG20" s="653"/>
      <c r="AH20" s="656">
        <v>-21056000000</v>
      </c>
      <c r="AK20" s="122"/>
      <c r="AL20" s="122"/>
      <c r="AM20" s="121"/>
      <c r="AN20" s="148"/>
      <c r="AO20" s="121"/>
      <c r="AP20" s="148"/>
      <c r="AQ20" s="121"/>
      <c r="AR20" s="148"/>
    </row>
    <row r="21" spans="1:44" ht="30.75">
      <c r="A21" s="941" t="s">
        <v>1166</v>
      </c>
      <c r="B21" s="941"/>
      <c r="C21" s="121"/>
      <c r="D21" s="148" t="s">
        <v>926</v>
      </c>
      <c r="E21" s="148" t="s">
        <v>926</v>
      </c>
      <c r="F21" s="148" t="s">
        <v>51</v>
      </c>
      <c r="G21" s="121"/>
      <c r="H21" s="651">
        <v>0</v>
      </c>
      <c r="I21" s="650"/>
      <c r="J21" s="651">
        <v>0</v>
      </c>
      <c r="K21" s="652"/>
      <c r="L21" s="651">
        <v>0</v>
      </c>
      <c r="M21" s="652"/>
      <c r="N21" s="651">
        <v>0</v>
      </c>
      <c r="O21" s="652"/>
      <c r="P21" s="656">
        <v>-215499000000</v>
      </c>
      <c r="Q21" s="652"/>
      <c r="R21" s="651">
        <v>0</v>
      </c>
      <c r="S21" s="652"/>
      <c r="T21" s="651">
        <v>0</v>
      </c>
      <c r="U21" s="652"/>
      <c r="V21" s="651">
        <v>0</v>
      </c>
      <c r="W21" s="652"/>
      <c r="X21" s="651">
        <v>0</v>
      </c>
      <c r="Y21" s="652"/>
      <c r="Z21" s="651">
        <v>0</v>
      </c>
      <c r="AA21" s="652"/>
      <c r="AB21" s="651">
        <v>0</v>
      </c>
      <c r="AC21" s="652"/>
      <c r="AD21" s="656">
        <v>-215499000000</v>
      </c>
      <c r="AE21" s="652"/>
      <c r="AF21" s="651">
        <v>0</v>
      </c>
      <c r="AG21" s="653"/>
      <c r="AH21" s="656">
        <v>-57584000000</v>
      </c>
      <c r="AK21" s="941" t="s">
        <v>338</v>
      </c>
      <c r="AL21" s="941"/>
      <c r="AM21" s="121"/>
      <c r="AN21" s="148"/>
      <c r="AO21" s="121"/>
      <c r="AP21" s="148" t="s">
        <v>926</v>
      </c>
      <c r="AQ21" s="121"/>
      <c r="AR21" s="148">
        <v>358583805771</v>
      </c>
    </row>
    <row r="22" spans="1:44" ht="31.5" thickBot="1">
      <c r="A22" s="122" t="s">
        <v>24</v>
      </c>
      <c r="B22" s="121"/>
      <c r="C22" s="121"/>
      <c r="D22" s="121"/>
      <c r="E22" s="121"/>
      <c r="F22" s="121"/>
      <c r="G22" s="121"/>
      <c r="H22" s="648">
        <f>SUM(H18:H21)</f>
        <v>737490713530</v>
      </c>
      <c r="I22" s="650"/>
      <c r="J22" s="657">
        <v>0</v>
      </c>
      <c r="K22" s="652"/>
      <c r="L22" s="648">
        <f>SUM(L18:L21)</f>
        <v>41695086352</v>
      </c>
      <c r="M22" s="652"/>
      <c r="N22" s="657">
        <v>0</v>
      </c>
      <c r="O22" s="652"/>
      <c r="P22" s="658">
        <f>SUM(P18:P21)</f>
        <v>-240283618360</v>
      </c>
      <c r="Q22" s="652"/>
      <c r="R22" s="657">
        <v>0</v>
      </c>
      <c r="S22" s="652"/>
      <c r="T22" s="657">
        <v>0</v>
      </c>
      <c r="U22" s="652"/>
      <c r="V22" s="657">
        <v>0</v>
      </c>
      <c r="W22" s="650"/>
      <c r="X22" s="657">
        <v>0</v>
      </c>
      <c r="Y22" s="650"/>
      <c r="Z22" s="657">
        <v>0</v>
      </c>
      <c r="AA22" s="650"/>
      <c r="AB22" s="658">
        <f>AB18+AB19+AB20</f>
        <v>779185799882</v>
      </c>
      <c r="AC22" s="656"/>
      <c r="AD22" s="658">
        <f>AD20+AD21</f>
        <v>-240283618360</v>
      </c>
      <c r="AE22" s="656"/>
      <c r="AF22" s="658">
        <f>AF18+AF19+AF20</f>
        <v>423668235489</v>
      </c>
      <c r="AG22" s="656"/>
      <c r="AH22" s="658">
        <f>AH20+AH21</f>
        <v>-78640000000</v>
      </c>
      <c r="AK22" s="122" t="s">
        <v>24</v>
      </c>
      <c r="AL22" s="121"/>
      <c r="AM22" s="121"/>
      <c r="AN22" s="121"/>
      <c r="AO22" s="121"/>
      <c r="AP22" s="121"/>
      <c r="AQ22" s="121"/>
      <c r="AR22" s="149">
        <v>0</v>
      </c>
    </row>
    <row r="23" spans="1:44" ht="25.5" thickTop="1">
      <c r="A23" s="12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row>
    <row r="24" spans="1:44" ht="5.25" customHeight="1">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row>
    <row r="25" spans="1:44">
      <c r="A25" s="942" t="s">
        <v>1426</v>
      </c>
      <c r="B25" s="943"/>
      <c r="C25" s="943"/>
      <c r="D25" s="943"/>
      <c r="E25" s="943"/>
      <c r="F25" s="943"/>
      <c r="G25" s="943"/>
      <c r="H25" s="943"/>
      <c r="I25" s="943"/>
      <c r="J25" s="943"/>
      <c r="K25" s="943"/>
      <c r="L25" s="943"/>
      <c r="M25" s="943"/>
      <c r="N25" s="943"/>
      <c r="O25" s="943"/>
      <c r="P25" s="943"/>
      <c r="Q25" s="943"/>
      <c r="R25" s="943"/>
      <c r="S25" s="943"/>
      <c r="T25" s="943"/>
      <c r="U25" s="943"/>
      <c r="V25" s="943"/>
      <c r="W25" s="943"/>
      <c r="X25" s="943"/>
      <c r="Y25" s="943"/>
      <c r="Z25" s="943"/>
      <c r="AA25" s="943"/>
      <c r="AB25" s="943"/>
      <c r="AC25" s="943"/>
      <c r="AD25" s="943"/>
      <c r="AE25" s="943"/>
      <c r="AF25" s="943"/>
      <c r="AG25" s="943"/>
      <c r="AH25" s="943"/>
    </row>
    <row r="26" spans="1:44" ht="31.5" customHeight="1">
      <c r="A26" s="943"/>
      <c r="B26" s="943"/>
      <c r="C26" s="943"/>
      <c r="D26" s="943"/>
      <c r="E26" s="943"/>
      <c r="F26" s="943"/>
      <c r="G26" s="943"/>
      <c r="H26" s="943"/>
      <c r="I26" s="943"/>
      <c r="J26" s="943"/>
      <c r="K26" s="943"/>
      <c r="L26" s="943"/>
      <c r="M26" s="943"/>
      <c r="N26" s="943"/>
      <c r="O26" s="943"/>
      <c r="P26" s="943"/>
      <c r="Q26" s="943"/>
      <c r="R26" s="943"/>
      <c r="S26" s="943"/>
      <c r="T26" s="943"/>
      <c r="U26" s="943"/>
      <c r="V26" s="943"/>
      <c r="W26" s="943"/>
      <c r="X26" s="943"/>
      <c r="Y26" s="943"/>
      <c r="Z26" s="943"/>
      <c r="AA26" s="943"/>
      <c r="AB26" s="943"/>
      <c r="AC26" s="943"/>
      <c r="AD26" s="943"/>
      <c r="AE26" s="943"/>
      <c r="AF26" s="943"/>
      <c r="AG26" s="943"/>
      <c r="AH26" s="943"/>
    </row>
    <row r="28" spans="1:44" ht="21">
      <c r="A28" s="935" t="s">
        <v>1427</v>
      </c>
      <c r="B28" s="935"/>
      <c r="C28" s="935"/>
      <c r="D28" s="935"/>
      <c r="E28" s="935"/>
      <c r="F28" s="935"/>
      <c r="G28" s="935"/>
      <c r="H28" s="935"/>
      <c r="I28" s="935"/>
      <c r="J28" s="935"/>
      <c r="K28" s="935"/>
      <c r="L28" s="935"/>
      <c r="M28" s="935"/>
      <c r="N28" s="935"/>
      <c r="O28" s="935"/>
      <c r="P28" s="935"/>
      <c r="Q28" s="935"/>
      <c r="R28" s="935"/>
      <c r="S28" s="935"/>
      <c r="T28" s="935"/>
      <c r="U28" s="935"/>
      <c r="V28" s="935"/>
      <c r="W28" s="935"/>
      <c r="X28" s="935"/>
      <c r="Y28" s="935"/>
      <c r="Z28" s="935"/>
      <c r="AA28" s="935"/>
      <c r="AB28" s="935"/>
      <c r="AC28" s="935"/>
      <c r="AD28" s="935"/>
      <c r="AE28" s="935"/>
      <c r="AF28" s="935"/>
      <c r="AG28" s="935"/>
      <c r="AH28" s="935"/>
    </row>
    <row r="30" spans="1:44" ht="105">
      <c r="A30" s="208"/>
      <c r="B30" s="292" t="s">
        <v>642</v>
      </c>
      <c r="C30" s="208"/>
      <c r="D30" s="292" t="s">
        <v>643</v>
      </c>
      <c r="E30" s="208"/>
      <c r="F30" s="292" t="s">
        <v>644</v>
      </c>
      <c r="G30" s="208"/>
      <c r="H30" s="292" t="s">
        <v>645</v>
      </c>
      <c r="I30" s="208"/>
      <c r="J30" s="292" t="s">
        <v>159</v>
      </c>
      <c r="K30" s="208"/>
      <c r="L30" s="292" t="s">
        <v>646</v>
      </c>
      <c r="M30" s="208"/>
      <c r="N30" s="292" t="s">
        <v>647</v>
      </c>
      <c r="O30" s="208"/>
      <c r="P30" s="292" t="s">
        <v>648</v>
      </c>
      <c r="Q30" s="208"/>
      <c r="R30" s="208"/>
      <c r="S30" s="208"/>
      <c r="T30" s="208"/>
      <c r="U30" s="208"/>
      <c r="V30" s="208"/>
      <c r="W30" s="208"/>
      <c r="X30" s="208"/>
      <c r="Y30" s="208"/>
      <c r="Z30" s="208"/>
      <c r="AA30" s="208"/>
      <c r="AB30" s="208"/>
      <c r="AC30" s="208"/>
      <c r="AD30" s="208"/>
      <c r="AE30" s="208"/>
      <c r="AF30" s="208"/>
      <c r="AG30" s="208"/>
      <c r="AH30" s="208"/>
    </row>
    <row r="31" spans="1:44" ht="30.75">
      <c r="A31" s="208"/>
      <c r="B31" s="574" t="s">
        <v>936</v>
      </c>
      <c r="C31" s="208"/>
      <c r="D31" s="291">
        <v>1820000000</v>
      </c>
      <c r="E31" s="208"/>
      <c r="F31" s="291">
        <v>510973808673</v>
      </c>
      <c r="G31" s="208"/>
      <c r="H31" s="575">
        <v>0</v>
      </c>
      <c r="I31" s="208"/>
      <c r="J31" s="291">
        <f>D31+F31</f>
        <v>512793808673</v>
      </c>
      <c r="K31" s="208"/>
      <c r="L31" s="291">
        <v>496391290061</v>
      </c>
      <c r="M31" s="208"/>
      <c r="N31" s="291">
        <v>2065489488011</v>
      </c>
      <c r="O31" s="208"/>
      <c r="P31" s="591">
        <f>J31-L31</f>
        <v>16402518612</v>
      </c>
      <c r="Q31" s="208"/>
      <c r="R31" s="208"/>
      <c r="S31" s="208"/>
      <c r="T31" s="208"/>
      <c r="U31" s="208"/>
      <c r="V31" s="208"/>
      <c r="W31" s="208"/>
      <c r="X31" s="208"/>
      <c r="Y31" s="208"/>
      <c r="Z31" s="208"/>
      <c r="AA31" s="208"/>
      <c r="AB31" s="208"/>
      <c r="AC31" s="208"/>
      <c r="AD31" s="208"/>
      <c r="AE31" s="208"/>
      <c r="AF31" s="208"/>
      <c r="AG31" s="208"/>
      <c r="AH31" s="208"/>
    </row>
    <row r="32" spans="1:44" ht="21">
      <c r="A32" s="208"/>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row>
    <row r="33" spans="1:34" ht="21">
      <c r="A33" s="208"/>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row>
    <row r="34" spans="1:34" ht="21">
      <c r="A34" s="208"/>
      <c r="B34" s="208"/>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row>
    <row r="35" spans="1:34" ht="30.75">
      <c r="A35" s="208"/>
      <c r="B35" s="938" t="s">
        <v>24</v>
      </c>
      <c r="C35" s="938"/>
      <c r="D35" s="591">
        <f>D31</f>
        <v>1820000000</v>
      </c>
      <c r="E35" s="591">
        <f t="shared" ref="E35:P35" si="0">E31</f>
        <v>0</v>
      </c>
      <c r="F35" s="591">
        <f t="shared" si="0"/>
        <v>510973808673</v>
      </c>
      <c r="G35" s="591">
        <f t="shared" si="0"/>
        <v>0</v>
      </c>
      <c r="H35" s="591">
        <f t="shared" si="0"/>
        <v>0</v>
      </c>
      <c r="I35" s="591">
        <f t="shared" si="0"/>
        <v>0</v>
      </c>
      <c r="J35" s="591">
        <f t="shared" si="0"/>
        <v>512793808673</v>
      </c>
      <c r="K35" s="591">
        <f t="shared" si="0"/>
        <v>0</v>
      </c>
      <c r="L35" s="591">
        <f t="shared" si="0"/>
        <v>496391290061</v>
      </c>
      <c r="M35" s="591">
        <f t="shared" si="0"/>
        <v>0</v>
      </c>
      <c r="N35" s="591">
        <f t="shared" si="0"/>
        <v>2065489488011</v>
      </c>
      <c r="O35" s="591">
        <f t="shared" si="0"/>
        <v>0</v>
      </c>
      <c r="P35" s="591">
        <f t="shared" si="0"/>
        <v>16402518612</v>
      </c>
      <c r="Q35" s="208"/>
      <c r="R35" s="208"/>
      <c r="S35" s="208"/>
      <c r="T35" s="208"/>
      <c r="U35" s="208"/>
      <c r="V35" s="208"/>
      <c r="W35" s="208"/>
      <c r="X35" s="208"/>
      <c r="Y35" s="208"/>
      <c r="Z35" s="208"/>
      <c r="AA35" s="208"/>
      <c r="AB35" s="208"/>
      <c r="AC35" s="208"/>
      <c r="AD35" s="208"/>
      <c r="AE35" s="208"/>
      <c r="AF35" s="208"/>
      <c r="AG35" s="208"/>
      <c r="AH35" s="208"/>
    </row>
    <row r="38" spans="1:34">
      <c r="B38" s="939" t="s">
        <v>1428</v>
      </c>
      <c r="C38" s="939"/>
      <c r="D38" s="939"/>
      <c r="E38" s="939"/>
      <c r="F38" s="939"/>
      <c r="G38" s="939"/>
      <c r="H38" s="939"/>
      <c r="I38" s="939"/>
      <c r="J38" s="939"/>
      <c r="K38" s="939"/>
      <c r="L38" s="939"/>
      <c r="M38" s="939"/>
      <c r="N38" s="939"/>
      <c r="O38" s="939"/>
      <c r="P38" s="939"/>
    </row>
    <row r="39" spans="1:34" ht="53.25" customHeight="1">
      <c r="B39" s="939"/>
      <c r="C39" s="939"/>
      <c r="D39" s="939"/>
      <c r="E39" s="939"/>
      <c r="F39" s="939"/>
      <c r="G39" s="939"/>
      <c r="H39" s="939"/>
      <c r="I39" s="939"/>
      <c r="J39" s="939"/>
      <c r="K39" s="939"/>
      <c r="L39" s="939"/>
      <c r="M39" s="939"/>
      <c r="N39" s="939"/>
      <c r="O39" s="939"/>
      <c r="P39" s="939"/>
    </row>
  </sheetData>
  <mergeCells count="45">
    <mergeCell ref="A6:H6"/>
    <mergeCell ref="A14:H14"/>
    <mergeCell ref="I14:P14"/>
    <mergeCell ref="A11:B11"/>
    <mergeCell ref="F8:H8"/>
    <mergeCell ref="F9:H9"/>
    <mergeCell ref="F10:H10"/>
    <mergeCell ref="F11:H11"/>
    <mergeCell ref="A7:B7"/>
    <mergeCell ref="A8:B8"/>
    <mergeCell ref="A9:B9"/>
    <mergeCell ref="A10:B10"/>
    <mergeCell ref="F7:H7"/>
    <mergeCell ref="B35:C35"/>
    <mergeCell ref="B38:P39"/>
    <mergeCell ref="AK18:AL18"/>
    <mergeCell ref="AK19:AL19"/>
    <mergeCell ref="AK21:AL21"/>
    <mergeCell ref="A20:B20"/>
    <mergeCell ref="A19:B19"/>
    <mergeCell ref="A21:B21"/>
    <mergeCell ref="A18:B18"/>
    <mergeCell ref="A25:AH26"/>
    <mergeCell ref="A28:AH28"/>
    <mergeCell ref="L15:L17"/>
    <mergeCell ref="N15:N17"/>
    <mergeCell ref="H15:H17"/>
    <mergeCell ref="Q14:X14"/>
    <mergeCell ref="Y14:AD14"/>
    <mergeCell ref="A1:AH1"/>
    <mergeCell ref="A2:AH2"/>
    <mergeCell ref="A3:AH3"/>
    <mergeCell ref="Z15:Z17"/>
    <mergeCell ref="AB15:AD15"/>
    <mergeCell ref="AB16:AD16"/>
    <mergeCell ref="AF16:AH16"/>
    <mergeCell ref="AF15:AH15"/>
    <mergeCell ref="P15:P17"/>
    <mergeCell ref="R15:R17"/>
    <mergeCell ref="T15:T17"/>
    <mergeCell ref="V15:V17"/>
    <mergeCell ref="A5:H5"/>
    <mergeCell ref="X15:X17"/>
    <mergeCell ref="A17:B17"/>
    <mergeCell ref="J15:J17"/>
  </mergeCells>
  <printOptions horizontalCentered="1"/>
  <pageMargins left="3.9370078740157501E-2" right="3.9370078740157501E-2" top="3.9370078740157501E-2" bottom="3.9370078740157501E-2" header="3.9370078740157501E-2" footer="3.9370078740157501E-2"/>
  <pageSetup scale="53" firstPageNumber="58" orientation="landscape" useFirstPageNumber="1" r:id="rId1"/>
  <headerFooter>
    <oddFooter>&amp;C&amp;"B Zar,Regular"&amp;14&amp;P</oddFooter>
  </headerFooter>
  <colBreaks count="1" manualBreakCount="1">
    <brk id="3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rightToLeft="1" view="pageLayout" topLeftCell="A25" zoomScaleNormal="100" zoomScaleSheetLayoutView="100" workbookViewId="0">
      <selection activeCell="G38" sqref="G38"/>
    </sheetView>
  </sheetViews>
  <sheetFormatPr defaultColWidth="9.140625" defaultRowHeight="18"/>
  <cols>
    <col min="1" max="1" width="31.5703125" style="365" customWidth="1"/>
    <col min="2" max="2" width="0.7109375" style="365" customWidth="1"/>
    <col min="3" max="3" width="6" style="365" customWidth="1"/>
    <col min="4" max="4" width="0.7109375" style="365" customWidth="1"/>
    <col min="5" max="5" width="12.140625" style="365" customWidth="1"/>
    <col min="6" max="6" width="0.7109375" style="365" customWidth="1"/>
    <col min="7" max="7" width="12.140625" style="365" customWidth="1"/>
    <col min="8" max="8" width="0.7109375" style="365" customWidth="1"/>
    <col min="9" max="9" width="12.28515625" style="365" customWidth="1"/>
    <col min="10" max="10" width="0.7109375" style="365" customWidth="1"/>
    <col min="11" max="11" width="12.140625" style="365" customWidth="1"/>
    <col min="12" max="12" width="1.140625" style="365" customWidth="1"/>
    <col min="13" max="13" width="9.140625" style="371"/>
    <col min="14" max="14" width="15.140625" style="365" customWidth="1"/>
    <col min="15" max="15" width="16.7109375" style="365" customWidth="1"/>
    <col min="16" max="16" width="9.140625" style="365"/>
    <col min="17" max="17" width="13.140625" style="365" customWidth="1"/>
    <col min="18" max="21" width="9.140625" style="365"/>
    <col min="22" max="22" width="6.7109375" style="365" customWidth="1"/>
    <col min="23" max="24" width="36.140625" style="365" customWidth="1"/>
    <col min="25" max="26" width="20.140625" style="365" customWidth="1"/>
    <col min="27" max="27" width="30.85546875" style="365" customWidth="1"/>
    <col min="28" max="16384" width="9.140625" style="365"/>
  </cols>
  <sheetData>
    <row r="1" spans="1:17" ht="20.25" customHeight="1">
      <c r="A1" s="749" t="str">
        <f>مفروضات!$C$1</f>
        <v>دانشگاه علوم پزشکی و خدمات بهداشتی درمانی سمنان</v>
      </c>
      <c r="B1" s="749"/>
      <c r="C1" s="749"/>
      <c r="D1" s="749"/>
      <c r="E1" s="749"/>
      <c r="F1" s="749"/>
      <c r="G1" s="749"/>
      <c r="H1" s="749"/>
      <c r="I1" s="749"/>
      <c r="J1" s="749"/>
      <c r="K1" s="749"/>
      <c r="L1" s="363"/>
      <c r="M1" s="364"/>
      <c r="N1" s="363"/>
      <c r="O1" s="363"/>
      <c r="P1" s="363"/>
    </row>
    <row r="2" spans="1:17" ht="20.25" customHeight="1">
      <c r="A2" s="749" t="s">
        <v>143</v>
      </c>
      <c r="B2" s="749"/>
      <c r="C2" s="749"/>
      <c r="D2" s="749"/>
      <c r="E2" s="749"/>
      <c r="F2" s="749"/>
      <c r="G2" s="749"/>
      <c r="H2" s="749"/>
      <c r="I2" s="749"/>
      <c r="J2" s="749"/>
      <c r="K2" s="749"/>
      <c r="L2" s="363"/>
      <c r="M2" s="364"/>
      <c r="N2" s="363"/>
      <c r="O2" s="363"/>
      <c r="P2" s="363"/>
    </row>
    <row r="3" spans="1:17" ht="20.25" customHeight="1">
      <c r="A3" s="749" t="str">
        <f>مفروضات!$C$5</f>
        <v>برای سال مالي منتهي به 29 اسفند ماه 1402</v>
      </c>
      <c r="B3" s="749"/>
      <c r="C3" s="749"/>
      <c r="D3" s="749"/>
      <c r="E3" s="749"/>
      <c r="F3" s="749"/>
      <c r="G3" s="749"/>
      <c r="H3" s="749"/>
      <c r="I3" s="749"/>
      <c r="J3" s="749"/>
      <c r="K3" s="749"/>
      <c r="L3" s="363"/>
      <c r="M3" s="364"/>
      <c r="N3" s="363"/>
      <c r="O3" s="363"/>
      <c r="P3" s="363"/>
    </row>
    <row r="4" spans="1:17" ht="16.5" customHeight="1">
      <c r="A4" s="366"/>
      <c r="B4" s="366"/>
      <c r="C4" s="367"/>
      <c r="D4" s="367"/>
      <c r="E4" s="367"/>
      <c r="F4" s="367"/>
      <c r="G4" s="367"/>
      <c r="H4" s="367"/>
      <c r="I4" s="748" t="s">
        <v>205</v>
      </c>
      <c r="J4" s="748"/>
      <c r="K4" s="748"/>
      <c r="L4" s="363"/>
      <c r="M4" s="364"/>
      <c r="N4" s="363"/>
      <c r="O4" s="363"/>
      <c r="P4" s="363"/>
    </row>
    <row r="5" spans="1:17" ht="15" customHeight="1">
      <c r="A5" s="368"/>
      <c r="B5" s="368"/>
      <c r="C5" s="369" t="s">
        <v>116</v>
      </c>
      <c r="D5" s="367"/>
      <c r="E5" s="750" t="s">
        <v>466</v>
      </c>
      <c r="F5" s="750"/>
      <c r="G5" s="750"/>
      <c r="H5" s="370"/>
      <c r="I5" s="750" t="s">
        <v>467</v>
      </c>
      <c r="J5" s="750"/>
      <c r="K5" s="750"/>
    </row>
    <row r="6" spans="1:17" ht="15" customHeight="1">
      <c r="A6" s="372"/>
      <c r="B6" s="372"/>
      <c r="C6" s="373"/>
      <c r="D6" s="373"/>
      <c r="E6" s="370" t="s">
        <v>70</v>
      </c>
      <c r="F6" s="374"/>
      <c r="G6" s="370" t="s">
        <v>70</v>
      </c>
      <c r="H6" s="374"/>
      <c r="I6" s="370" t="s">
        <v>70</v>
      </c>
      <c r="J6" s="374"/>
      <c r="K6" s="370" t="s">
        <v>70</v>
      </c>
    </row>
    <row r="7" spans="1:17" ht="15" customHeight="1">
      <c r="A7" s="375" t="s">
        <v>196</v>
      </c>
      <c r="B7" s="376"/>
      <c r="C7" s="376"/>
      <c r="D7" s="376"/>
      <c r="E7" s="376"/>
      <c r="F7" s="376"/>
      <c r="G7" s="376"/>
      <c r="H7" s="376"/>
      <c r="I7" s="376"/>
      <c r="J7" s="376"/>
      <c r="K7" s="376"/>
    </row>
    <row r="8" spans="1:17" ht="4.5" customHeight="1">
      <c r="A8" s="375"/>
      <c r="B8" s="376"/>
      <c r="C8" s="376"/>
      <c r="D8" s="376"/>
      <c r="E8" s="376"/>
      <c r="F8" s="376"/>
      <c r="G8" s="376"/>
      <c r="H8" s="376"/>
      <c r="I8" s="376"/>
      <c r="J8" s="376"/>
      <c r="K8" s="376"/>
    </row>
    <row r="9" spans="1:17" ht="20.25" customHeight="1">
      <c r="A9" s="377" t="s">
        <v>481</v>
      </c>
      <c r="B9" s="376"/>
      <c r="C9" s="711">
        <v>19</v>
      </c>
      <c r="D9" s="376"/>
      <c r="E9" s="405">
        <f>'19-23'!N10</f>
        <v>13352546296537</v>
      </c>
      <c r="F9" s="405"/>
      <c r="G9" s="405"/>
      <c r="H9" s="405"/>
      <c r="I9" s="405">
        <f>'19-23'!P10</f>
        <v>9410633981510</v>
      </c>
      <c r="J9" s="405"/>
      <c r="K9" s="405"/>
    </row>
    <row r="10" spans="1:17" ht="20.25" customHeight="1">
      <c r="A10" s="377" t="s">
        <v>55</v>
      </c>
      <c r="B10" s="376"/>
      <c r="C10" s="711">
        <v>20</v>
      </c>
      <c r="D10" s="376"/>
      <c r="E10" s="405">
        <f>'19-23'!N66</f>
        <v>18246491000</v>
      </c>
      <c r="F10" s="405"/>
      <c r="G10" s="405"/>
      <c r="H10" s="405"/>
      <c r="I10" s="405">
        <f>'19-23'!P66</f>
        <v>26489214991</v>
      </c>
      <c r="J10" s="405"/>
      <c r="K10" s="405"/>
      <c r="Q10" s="365">
        <v>4286551555799</v>
      </c>
    </row>
    <row r="11" spans="1:17" ht="20.25" customHeight="1">
      <c r="A11" s="377" t="s">
        <v>484</v>
      </c>
      <c r="B11" s="376"/>
      <c r="C11" s="711">
        <v>21</v>
      </c>
      <c r="D11" s="376"/>
      <c r="E11" s="405">
        <f>'19-23'!N75</f>
        <v>5984778023120</v>
      </c>
      <c r="F11" s="405"/>
      <c r="G11" s="405"/>
      <c r="H11" s="405"/>
      <c r="I11" s="405">
        <f>'19-23'!P75</f>
        <v>4593557076877</v>
      </c>
      <c r="J11" s="405"/>
      <c r="K11" s="405"/>
    </row>
    <row r="12" spans="1:17" ht="20.25" customHeight="1">
      <c r="A12" s="377" t="s">
        <v>1336</v>
      </c>
      <c r="B12" s="376"/>
      <c r="C12" s="711">
        <v>22</v>
      </c>
      <c r="D12" s="376"/>
      <c r="E12" s="405">
        <f>'19-23'!N103</f>
        <v>4400000000</v>
      </c>
      <c r="F12" s="405"/>
      <c r="G12" s="405"/>
      <c r="H12" s="405"/>
      <c r="I12" s="405">
        <f>'19-23'!P103</f>
        <v>39067009851</v>
      </c>
      <c r="J12" s="405"/>
      <c r="K12" s="405"/>
    </row>
    <row r="13" spans="1:17" ht="20.25" customHeight="1">
      <c r="A13" s="377" t="s">
        <v>56</v>
      </c>
      <c r="B13" s="376"/>
      <c r="C13" s="711">
        <v>23</v>
      </c>
      <c r="D13" s="376"/>
      <c r="E13" s="405">
        <f>'19-23'!N111</f>
        <v>29825427440</v>
      </c>
      <c r="F13" s="405"/>
      <c r="G13" s="405"/>
      <c r="H13" s="405"/>
      <c r="I13" s="405">
        <f>'19-23'!P111</f>
        <v>37319823008</v>
      </c>
      <c r="J13" s="405"/>
      <c r="K13" s="405"/>
    </row>
    <row r="14" spans="1:17" ht="20.25" customHeight="1">
      <c r="A14" s="377" t="s">
        <v>121</v>
      </c>
      <c r="B14" s="376"/>
      <c r="C14" s="711">
        <v>24</v>
      </c>
      <c r="D14" s="376"/>
      <c r="E14" s="405">
        <f>'24'!N21</f>
        <v>288813303746</v>
      </c>
      <c r="F14" s="405"/>
      <c r="G14" s="405"/>
      <c r="H14" s="405"/>
      <c r="I14" s="405">
        <f>'24'!P21</f>
        <v>317535741428</v>
      </c>
      <c r="J14" s="405"/>
      <c r="K14" s="405"/>
    </row>
    <row r="15" spans="1:17" ht="19.5" customHeight="1">
      <c r="A15" s="379" t="s">
        <v>24</v>
      </c>
      <c r="B15" s="376"/>
      <c r="C15" s="378"/>
      <c r="D15" s="376"/>
      <c r="E15" s="406"/>
      <c r="F15" s="405"/>
      <c r="G15" s="407">
        <f>SUM(E9:E14)</f>
        <v>19678609541843</v>
      </c>
      <c r="H15" s="405"/>
      <c r="I15" s="406"/>
      <c r="J15" s="405"/>
      <c r="K15" s="407">
        <f>SUM(I9:I14)</f>
        <v>14424602847665</v>
      </c>
    </row>
    <row r="16" spans="1:17" ht="6.75" customHeight="1">
      <c r="A16" s="379"/>
      <c r="B16" s="376"/>
      <c r="C16" s="380"/>
      <c r="D16" s="376"/>
      <c r="E16" s="405"/>
      <c r="F16" s="405"/>
      <c r="G16" s="405"/>
      <c r="H16" s="405"/>
      <c r="I16" s="405"/>
      <c r="J16" s="405"/>
      <c r="K16" s="405"/>
    </row>
    <row r="17" spans="1:11" ht="15" customHeight="1">
      <c r="A17" s="375" t="s">
        <v>197</v>
      </c>
      <c r="B17" s="376"/>
      <c r="C17" s="380"/>
      <c r="D17" s="376"/>
      <c r="E17" s="405"/>
      <c r="F17" s="405"/>
      <c r="G17" s="405"/>
      <c r="H17" s="405"/>
      <c r="I17" s="405"/>
      <c r="J17" s="405"/>
      <c r="K17" s="405"/>
    </row>
    <row r="18" spans="1:11" ht="7.5" customHeight="1">
      <c r="A18" s="375"/>
      <c r="B18" s="376"/>
      <c r="C18" s="380"/>
      <c r="D18" s="376"/>
      <c r="E18" s="405"/>
      <c r="F18" s="405"/>
      <c r="G18" s="405"/>
      <c r="H18" s="405"/>
      <c r="I18" s="405"/>
      <c r="J18" s="405"/>
      <c r="K18" s="405"/>
    </row>
    <row r="19" spans="1:11" ht="18.75" customHeight="1">
      <c r="A19" s="377" t="s">
        <v>128</v>
      </c>
      <c r="B19" s="376"/>
      <c r="C19" s="711">
        <v>25</v>
      </c>
      <c r="D19" s="376"/>
      <c r="E19" s="405">
        <f>'25-28'!F10</f>
        <v>7445547610249</v>
      </c>
      <c r="F19" s="405"/>
      <c r="G19" s="405"/>
      <c r="H19" s="405"/>
      <c r="I19" s="405">
        <f>'25-28'!H10</f>
        <v>5966297493465</v>
      </c>
      <c r="J19" s="405"/>
      <c r="K19" s="405"/>
    </row>
    <row r="20" spans="1:11" ht="18.75" customHeight="1">
      <c r="A20" s="377" t="s">
        <v>406</v>
      </c>
      <c r="B20" s="376"/>
      <c r="C20" s="711">
        <v>26</v>
      </c>
      <c r="D20" s="376"/>
      <c r="E20" s="405">
        <f>'25-28'!F44</f>
        <v>7423403763776</v>
      </c>
      <c r="F20" s="405"/>
      <c r="G20" s="405"/>
      <c r="H20" s="405"/>
      <c r="I20" s="405">
        <f>'25-28'!H44</f>
        <v>5030977362808</v>
      </c>
      <c r="J20" s="405"/>
      <c r="K20" s="405"/>
    </row>
    <row r="21" spans="1:11" ht="18.75" customHeight="1">
      <c r="A21" s="377" t="s">
        <v>620</v>
      </c>
      <c r="B21" s="376"/>
      <c r="C21" s="711">
        <v>27</v>
      </c>
      <c r="D21" s="376"/>
      <c r="E21" s="405">
        <f>'25-28'!F96</f>
        <v>54740842884</v>
      </c>
      <c r="F21" s="405"/>
      <c r="G21" s="405"/>
      <c r="H21" s="405"/>
      <c r="I21" s="405">
        <f>'25-28'!H96</f>
        <v>98828586235</v>
      </c>
      <c r="J21" s="405"/>
      <c r="K21" s="405"/>
    </row>
    <row r="22" spans="1:11" ht="18.75" customHeight="1">
      <c r="A22" s="377" t="s">
        <v>134</v>
      </c>
      <c r="B22" s="376"/>
      <c r="C22" s="711">
        <v>28</v>
      </c>
      <c r="D22" s="376"/>
      <c r="E22" s="405">
        <f>'25-28'!F102</f>
        <v>15004473556</v>
      </c>
      <c r="F22" s="405"/>
      <c r="G22" s="405"/>
      <c r="H22" s="405"/>
      <c r="I22" s="405">
        <f>'25-28'!H102</f>
        <v>21548790504</v>
      </c>
      <c r="J22" s="405"/>
      <c r="K22" s="405"/>
    </row>
    <row r="23" spans="1:11" ht="18.75" customHeight="1">
      <c r="A23" s="377" t="s">
        <v>136</v>
      </c>
      <c r="B23" s="376"/>
      <c r="C23" s="711">
        <v>29</v>
      </c>
      <c r="D23" s="376"/>
      <c r="E23" s="405">
        <f>'29-32'!F12</f>
        <v>1783895351107</v>
      </c>
      <c r="F23" s="405"/>
      <c r="G23" s="405"/>
      <c r="H23" s="405"/>
      <c r="I23" s="405">
        <f>'29-32'!H12</f>
        <v>1465190741816</v>
      </c>
      <c r="J23" s="405"/>
      <c r="K23" s="405"/>
    </row>
    <row r="24" spans="1:11" ht="18.75" customHeight="1">
      <c r="A24" s="377" t="s">
        <v>138</v>
      </c>
      <c r="B24" s="376"/>
      <c r="C24" s="711">
        <v>30</v>
      </c>
      <c r="D24" s="376"/>
      <c r="E24" s="405">
        <f>'29-32'!F18</f>
        <v>1847962914408</v>
      </c>
      <c r="F24" s="405"/>
      <c r="G24" s="405"/>
      <c r="H24" s="405"/>
      <c r="I24" s="405">
        <f>'29-32'!H18</f>
        <v>981015020086</v>
      </c>
      <c r="J24" s="405"/>
      <c r="K24" s="405"/>
    </row>
    <row r="25" spans="1:11" ht="18.75" customHeight="1">
      <c r="A25" s="377" t="s">
        <v>168</v>
      </c>
      <c r="B25" s="376"/>
      <c r="C25" s="711">
        <v>31</v>
      </c>
      <c r="D25" s="376"/>
      <c r="E25" s="405">
        <f>'29-32'!F35</f>
        <v>543887331312</v>
      </c>
      <c r="F25" s="405"/>
      <c r="G25" s="405"/>
      <c r="H25" s="405"/>
      <c r="I25" s="405">
        <f>'29-32'!H35</f>
        <v>493210523324</v>
      </c>
      <c r="J25" s="405"/>
      <c r="K25" s="405"/>
    </row>
    <row r="26" spans="1:11" ht="18.75" customHeight="1">
      <c r="A26" s="379" t="s">
        <v>485</v>
      </c>
      <c r="B26" s="376"/>
      <c r="C26" s="380"/>
      <c r="D26" s="376"/>
      <c r="E26" s="406"/>
      <c r="F26" s="405"/>
      <c r="G26" s="411">
        <f>SUM(E19:E25)</f>
        <v>19114442287292</v>
      </c>
      <c r="H26" s="405"/>
      <c r="I26" s="406"/>
      <c r="J26" s="405"/>
      <c r="K26" s="411">
        <f>SUM(I19:I25)</f>
        <v>14057068518238</v>
      </c>
    </row>
    <row r="27" spans="1:11" ht="18.75" customHeight="1">
      <c r="A27" s="379" t="s">
        <v>486</v>
      </c>
      <c r="B27" s="376"/>
      <c r="C27" s="380"/>
      <c r="D27" s="376"/>
      <c r="E27" s="405"/>
      <c r="F27" s="405"/>
      <c r="G27" s="405">
        <f>G15-G26</f>
        <v>564167254551</v>
      </c>
      <c r="H27" s="405"/>
      <c r="I27" s="405"/>
      <c r="J27" s="405"/>
      <c r="K27" s="405">
        <f>K15-K26</f>
        <v>367534329427</v>
      </c>
    </row>
    <row r="28" spans="1:11" ht="18.75" customHeight="1">
      <c r="A28" s="379" t="s">
        <v>487</v>
      </c>
      <c r="B28" s="376"/>
      <c r="C28" s="378"/>
      <c r="D28" s="376"/>
      <c r="E28" s="405"/>
      <c r="F28" s="405"/>
      <c r="G28" s="405">
        <f>SUM(G27:G27)</f>
        <v>564167254551</v>
      </c>
      <c r="H28" s="405"/>
      <c r="I28" s="405"/>
      <c r="J28" s="405"/>
      <c r="K28" s="405">
        <f>SUM(K27:K27)</f>
        <v>367534329427</v>
      </c>
    </row>
    <row r="29" spans="1:11" ht="18.75" customHeight="1">
      <c r="A29" s="375" t="s">
        <v>1317</v>
      </c>
      <c r="B29" s="376"/>
      <c r="C29" s="378"/>
      <c r="D29" s="376"/>
      <c r="E29" s="405"/>
      <c r="F29" s="405"/>
      <c r="G29" s="405"/>
      <c r="H29" s="405"/>
      <c r="I29" s="405"/>
      <c r="J29" s="405"/>
      <c r="K29" s="405"/>
    </row>
    <row r="30" spans="1:11" ht="19.5" customHeight="1">
      <c r="A30" s="377" t="s">
        <v>55</v>
      </c>
      <c r="B30" s="376"/>
      <c r="C30" s="711">
        <v>32</v>
      </c>
      <c r="D30" s="376"/>
      <c r="E30" s="405">
        <f>'29-32'!F51</f>
        <v>547394730</v>
      </c>
      <c r="F30" s="405"/>
      <c r="G30" s="405"/>
      <c r="H30" s="405"/>
      <c r="I30" s="405">
        <f>'29-32'!H51</f>
        <v>794676450</v>
      </c>
      <c r="J30" s="405"/>
      <c r="K30" s="405"/>
    </row>
    <row r="31" spans="1:11" ht="19.5" customHeight="1">
      <c r="A31" s="377" t="s">
        <v>484</v>
      </c>
      <c r="B31" s="376"/>
      <c r="C31" s="711">
        <v>33</v>
      </c>
      <c r="D31" s="376"/>
      <c r="E31" s="405">
        <f>'33-36'!E10</f>
        <v>127145127419</v>
      </c>
      <c r="F31" s="405"/>
      <c r="G31" s="405"/>
      <c r="H31" s="405"/>
      <c r="I31" s="405">
        <f>'33-36'!G10</f>
        <v>113669505501</v>
      </c>
      <c r="J31" s="405"/>
      <c r="K31" s="405"/>
    </row>
    <row r="32" spans="1:11" ht="19.5" customHeight="1">
      <c r="A32" s="377" t="s">
        <v>113</v>
      </c>
      <c r="B32" s="376"/>
      <c r="C32" s="711">
        <v>34</v>
      </c>
      <c r="D32" s="376"/>
      <c r="E32" s="405">
        <f>'33-36'!E37</f>
        <v>132000000</v>
      </c>
      <c r="F32" s="405"/>
      <c r="G32" s="405"/>
      <c r="H32" s="405"/>
      <c r="I32" s="405">
        <f>'33-36'!G37</f>
        <v>0</v>
      </c>
      <c r="J32" s="405"/>
      <c r="K32" s="405"/>
    </row>
    <row r="33" spans="1:14" ht="19.5" customHeight="1">
      <c r="A33" s="377" t="s">
        <v>56</v>
      </c>
      <c r="B33" s="376"/>
      <c r="C33" s="711">
        <v>35</v>
      </c>
      <c r="D33" s="376"/>
      <c r="E33" s="405">
        <f>'33-36'!E44</f>
        <v>772024535</v>
      </c>
      <c r="F33" s="405"/>
      <c r="G33" s="405"/>
      <c r="H33" s="405"/>
      <c r="I33" s="405">
        <f>'33-36'!G44</f>
        <v>954124231</v>
      </c>
      <c r="J33" s="405"/>
      <c r="K33" s="405"/>
    </row>
    <row r="34" spans="1:14" ht="19.5" customHeight="1">
      <c r="A34" s="377" t="s">
        <v>488</v>
      </c>
      <c r="B34" s="376"/>
      <c r="C34" s="711"/>
      <c r="D34" s="376"/>
      <c r="E34" s="406"/>
      <c r="F34" s="405"/>
      <c r="G34" s="407">
        <f>SUM(E30:E33)</f>
        <v>128596546684</v>
      </c>
      <c r="H34" s="405"/>
      <c r="I34" s="406"/>
      <c r="J34" s="405"/>
      <c r="K34" s="407">
        <f>SUM(I30:I33)</f>
        <v>115418306182</v>
      </c>
    </row>
    <row r="35" spans="1:14" ht="21" customHeight="1">
      <c r="A35" s="377" t="s">
        <v>141</v>
      </c>
      <c r="B35" s="376"/>
      <c r="C35" s="711">
        <v>36</v>
      </c>
      <c r="D35" s="376"/>
      <c r="E35" s="405"/>
      <c r="F35" s="405"/>
      <c r="G35" s="405">
        <f>-('33-36'!E53)</f>
        <v>-128596546684</v>
      </c>
      <c r="H35" s="405"/>
      <c r="I35" s="405"/>
      <c r="J35" s="405"/>
      <c r="K35" s="405">
        <f>-('33-36'!G53)</f>
        <v>-115418306182</v>
      </c>
    </row>
    <row r="36" spans="1:14" ht="21" customHeight="1">
      <c r="A36" s="375" t="s">
        <v>489</v>
      </c>
      <c r="B36" s="376"/>
      <c r="C36" s="711"/>
      <c r="D36" s="376"/>
      <c r="E36" s="405"/>
      <c r="F36" s="405"/>
      <c r="G36" s="405">
        <f>SUM(G34:G35)</f>
        <v>0</v>
      </c>
      <c r="H36" s="405"/>
      <c r="I36" s="405"/>
      <c r="J36" s="405"/>
      <c r="K36" s="405">
        <f>SUM(K34:K35)</f>
        <v>0</v>
      </c>
    </row>
    <row r="37" spans="1:14" ht="21" customHeight="1" thickBot="1">
      <c r="A37" s="375" t="s">
        <v>490</v>
      </c>
      <c r="B37" s="376"/>
      <c r="C37" s="380"/>
      <c r="D37" s="376"/>
      <c r="E37" s="405"/>
      <c r="F37" s="405"/>
      <c r="G37" s="412">
        <f>SUM(G36,G28)</f>
        <v>564167254551</v>
      </c>
      <c r="H37" s="405"/>
      <c r="I37" s="405"/>
      <c r="J37" s="405"/>
      <c r="K37" s="412">
        <f>SUM(K36,K28)</f>
        <v>367534329427</v>
      </c>
    </row>
    <row r="38" spans="1:14" ht="6" customHeight="1" thickTop="1"/>
    <row r="39" spans="1:14" ht="18" customHeight="1">
      <c r="A39" s="747" t="s">
        <v>617</v>
      </c>
      <c r="B39" s="747"/>
      <c r="C39" s="747"/>
      <c r="D39" s="747"/>
      <c r="E39" s="747"/>
      <c r="F39" s="747"/>
      <c r="G39" s="747"/>
      <c r="H39" s="747"/>
      <c r="I39" s="747"/>
      <c r="J39" s="747"/>
      <c r="K39" s="747"/>
    </row>
    <row r="40" spans="1:14" ht="24.75">
      <c r="N40" s="387"/>
    </row>
  </sheetData>
  <mergeCells count="7">
    <mergeCell ref="A39:K39"/>
    <mergeCell ref="I4:K4"/>
    <mergeCell ref="A1:K1"/>
    <mergeCell ref="A2:K2"/>
    <mergeCell ref="A3:K3"/>
    <mergeCell ref="I5:K5"/>
    <mergeCell ref="E5:G5"/>
  </mergeCells>
  <hyperlinks>
    <hyperlink ref="C19" location="'36-40'!A1" display="'36-40'!A1"/>
    <hyperlink ref="C20" location="'36-40'!A1" display="'36-40'!A1"/>
    <hyperlink ref="C21" location="'36-40'!A1" display="'36-40'!A1"/>
    <hyperlink ref="C22" location="'36-40'!A1" display="'36-40'!A1"/>
    <hyperlink ref="C23" location="'41-43'!A1" display="'41-43'!A1"/>
    <hyperlink ref="C24" location="'41-43'!A1" display="'41-43'!A1"/>
    <hyperlink ref="C25" location="'41-43'!A1" display="'41-43'!A1"/>
    <hyperlink ref="C30" location="'46-48'!A1" display="'46-48'!A1"/>
    <hyperlink ref="C31" location="'49-52'!A1" display="'49-52'!A1"/>
    <hyperlink ref="C32" location="'49-52'!A1" display="'49-52'!A1"/>
    <hyperlink ref="C33" location="'49-52'!A1" display="'49-52'!A1"/>
    <hyperlink ref="C35" location="'49-52'!A1" display="'49-52'!A1"/>
    <hyperlink ref="C9" location="'20'!Print_Area" display="'20'!Print_Area"/>
    <hyperlink ref="C14" location="'33-34'!A1" display="'33-34'!A1"/>
  </hyperlinks>
  <printOptions horizontalCentered="1"/>
  <pageMargins left="3.937007874015748E-2" right="3.937007874015748E-2" top="3.937007874015748E-2" bottom="3.937007874015748E-2" header="3.937007874015748E-2" footer="3.937007874015748E-2"/>
  <pageSetup paperSize="9" scale="79" firstPageNumber="2" orientation="portrait" useFirstPageNumber="1" r:id="rId1"/>
  <headerFooter>
    <oddFooter>&amp;C&amp;"B Nazanin,Bold"3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rightToLeft="1" tabSelected="1" view="pageLayout" topLeftCell="A13" zoomScaleNormal="100" zoomScaleSheetLayoutView="100" workbookViewId="0">
      <selection activeCell="M16" sqref="M16"/>
    </sheetView>
  </sheetViews>
  <sheetFormatPr defaultColWidth="9.140625" defaultRowHeight="29.25" customHeight="1"/>
  <cols>
    <col min="1" max="1" width="31.5703125" style="79" customWidth="1"/>
    <col min="2" max="2" width="0.7109375" style="79" customWidth="1"/>
    <col min="3" max="3" width="5.85546875" style="79" bestFit="1" customWidth="1"/>
    <col min="4" max="4" width="0.7109375" style="79" customWidth="1"/>
    <col min="5" max="5" width="14" style="79" customWidth="1"/>
    <col min="6" max="6" width="0.7109375" style="79" customWidth="1"/>
    <col min="7" max="7" width="16.5703125" style="79" customWidth="1"/>
    <col min="8" max="8" width="0.7109375" style="79" customWidth="1"/>
    <col min="9" max="9" width="16.85546875" style="79" customWidth="1"/>
    <col min="10" max="10" width="0.7109375" style="79" customWidth="1"/>
    <col min="11" max="11" width="18.85546875" style="79" customWidth="1"/>
    <col min="12" max="12" width="0.5703125" style="79" customWidth="1"/>
    <col min="13" max="14" width="9.140625" style="79"/>
    <col min="15" max="15" width="14" style="79" bestFit="1" customWidth="1"/>
    <col min="16" max="21" width="9.140625" style="79"/>
    <col min="22" max="22" width="6.7109375" style="79" customWidth="1"/>
    <col min="23" max="24" width="36.140625" style="79" customWidth="1"/>
    <col min="25" max="26" width="20.140625" style="79" customWidth="1"/>
    <col min="27" max="27" width="30.85546875" style="79" customWidth="1"/>
    <col min="28" max="16384" width="9.140625" style="79"/>
  </cols>
  <sheetData>
    <row r="1" spans="1:16" ht="20.25" customHeight="1">
      <c r="A1" s="752" t="str">
        <f>مفروضات!$C$1</f>
        <v>دانشگاه علوم پزشکی و خدمات بهداشتی درمانی سمنان</v>
      </c>
      <c r="B1" s="753"/>
      <c r="C1" s="753"/>
      <c r="D1" s="753"/>
      <c r="E1" s="753"/>
      <c r="F1" s="753"/>
      <c r="G1" s="753"/>
      <c r="H1" s="753"/>
      <c r="I1" s="753"/>
      <c r="J1" s="753"/>
      <c r="K1" s="753"/>
      <c r="L1" s="78"/>
      <c r="M1" s="78"/>
      <c r="N1" s="78"/>
      <c r="O1" s="78"/>
      <c r="P1" s="78"/>
    </row>
    <row r="2" spans="1:16" ht="20.25" customHeight="1">
      <c r="A2" s="753" t="s">
        <v>498</v>
      </c>
      <c r="B2" s="753"/>
      <c r="C2" s="753"/>
      <c r="D2" s="753"/>
      <c r="E2" s="753"/>
      <c r="F2" s="753"/>
      <c r="G2" s="753"/>
      <c r="H2" s="753"/>
      <c r="I2" s="753"/>
      <c r="J2" s="753"/>
      <c r="K2" s="753"/>
      <c r="L2" s="78"/>
      <c r="M2" s="78"/>
      <c r="N2" s="78"/>
      <c r="O2" s="78"/>
      <c r="P2" s="78"/>
    </row>
    <row r="3" spans="1:16" ht="20.25" customHeight="1">
      <c r="A3" s="752" t="str">
        <f>مفروضات!$C$5</f>
        <v>برای سال مالي منتهي به 29 اسفند ماه 1402</v>
      </c>
      <c r="B3" s="753"/>
      <c r="C3" s="753"/>
      <c r="D3" s="753"/>
      <c r="E3" s="753"/>
      <c r="F3" s="753"/>
      <c r="G3" s="753"/>
      <c r="H3" s="753"/>
      <c r="I3" s="753"/>
      <c r="J3" s="753"/>
      <c r="K3" s="753"/>
      <c r="L3" s="78"/>
      <c r="M3" s="78"/>
      <c r="N3" s="78"/>
      <c r="O3" s="78"/>
      <c r="P3" s="78"/>
    </row>
    <row r="4" spans="1:16" ht="16.5" customHeight="1">
      <c r="A4" s="94"/>
      <c r="B4" s="94"/>
      <c r="C4" s="97"/>
      <c r="D4" s="97"/>
      <c r="E4" s="97"/>
      <c r="F4" s="97"/>
      <c r="G4" s="97"/>
      <c r="H4" s="97"/>
      <c r="I4" s="754" t="s">
        <v>205</v>
      </c>
      <c r="J4" s="754"/>
      <c r="K4" s="754"/>
      <c r="L4" s="78"/>
      <c r="M4" s="78"/>
      <c r="N4" s="78"/>
      <c r="O4" s="78"/>
      <c r="P4" s="78"/>
    </row>
    <row r="5" spans="1:16" ht="15" customHeight="1">
      <c r="A5" s="95"/>
      <c r="B5" s="95"/>
      <c r="C5" s="96" t="s">
        <v>116</v>
      </c>
      <c r="D5" s="97"/>
      <c r="E5" s="755" t="s">
        <v>466</v>
      </c>
      <c r="F5" s="755"/>
      <c r="G5" s="755"/>
      <c r="H5" s="115"/>
      <c r="I5" s="755" t="s">
        <v>467</v>
      </c>
      <c r="J5" s="755"/>
      <c r="K5" s="755"/>
    </row>
    <row r="6" spans="1:16" ht="15" customHeight="1">
      <c r="A6" s="98"/>
      <c r="B6" s="98"/>
      <c r="C6" s="103"/>
      <c r="D6" s="103"/>
      <c r="E6" s="115" t="s">
        <v>70</v>
      </c>
      <c r="F6" s="116"/>
      <c r="G6" s="115" t="s">
        <v>70</v>
      </c>
      <c r="H6" s="116"/>
      <c r="I6" s="115" t="s">
        <v>70</v>
      </c>
      <c r="J6" s="116"/>
      <c r="K6" s="115" t="s">
        <v>70</v>
      </c>
    </row>
    <row r="7" spans="1:16" ht="24.75" customHeight="1">
      <c r="A7" s="102" t="s">
        <v>499</v>
      </c>
      <c r="B7" s="101"/>
      <c r="C7" s="99"/>
      <c r="D7" s="386"/>
      <c r="E7" s="405">
        <f>K9</f>
        <v>1618432281244</v>
      </c>
      <c r="F7" s="405"/>
      <c r="G7" s="405"/>
      <c r="H7" s="405"/>
      <c r="I7" s="405">
        <v>1731187487517</v>
      </c>
      <c r="J7" s="395"/>
      <c r="K7" s="395"/>
    </row>
    <row r="8" spans="1:16" ht="24.75" customHeight="1">
      <c r="A8" s="102" t="s">
        <v>500</v>
      </c>
      <c r="B8" s="101"/>
      <c r="C8" s="711"/>
      <c r="D8" s="386"/>
      <c r="E8" s="405">
        <f>'16-17-18'!S53</f>
        <v>-100953221045</v>
      </c>
      <c r="F8" s="405"/>
      <c r="G8" s="405"/>
      <c r="H8" s="405"/>
      <c r="I8" s="405">
        <v>-112755206273</v>
      </c>
      <c r="J8" s="395"/>
      <c r="K8" s="395"/>
    </row>
    <row r="9" spans="1:16" ht="24.75" customHeight="1">
      <c r="A9" s="100" t="s">
        <v>501</v>
      </c>
      <c r="B9" s="101"/>
      <c r="C9" s="711">
        <v>18</v>
      </c>
      <c r="D9" s="386"/>
      <c r="E9" s="406"/>
      <c r="F9" s="405"/>
      <c r="G9" s="407">
        <f>SUM(E7:E8)</f>
        <v>1517479060199</v>
      </c>
      <c r="H9" s="405"/>
      <c r="I9" s="406"/>
      <c r="J9" s="395"/>
      <c r="K9" s="408">
        <f>SUM(I7:I8)</f>
        <v>1618432281244</v>
      </c>
    </row>
    <row r="10" spans="1:16" ht="20.25" hidden="1" customHeight="1">
      <c r="A10" s="102" t="s">
        <v>502</v>
      </c>
      <c r="B10" s="101"/>
      <c r="C10" s="711"/>
      <c r="D10" s="386"/>
      <c r="E10" s="405"/>
      <c r="F10" s="405"/>
      <c r="G10" s="405"/>
      <c r="H10" s="405"/>
      <c r="I10" s="405"/>
      <c r="J10" s="395"/>
      <c r="K10" s="395"/>
    </row>
    <row r="11" spans="1:16" ht="20.25" hidden="1" customHeight="1">
      <c r="A11" s="102" t="s">
        <v>503</v>
      </c>
      <c r="B11" s="101"/>
      <c r="C11" s="711"/>
      <c r="D11" s="386"/>
      <c r="E11" s="405"/>
      <c r="F11" s="405"/>
      <c r="G11" s="405"/>
      <c r="H11" s="405"/>
      <c r="I11" s="405"/>
      <c r="J11" s="395"/>
      <c r="K11" s="395"/>
    </row>
    <row r="12" spans="1:16" ht="20.25" hidden="1" customHeight="1">
      <c r="A12" s="100" t="s">
        <v>504</v>
      </c>
      <c r="B12" s="101"/>
      <c r="C12" s="711">
        <v>26</v>
      </c>
      <c r="D12" s="101"/>
      <c r="E12" s="404"/>
      <c r="F12" s="395"/>
      <c r="G12" s="408">
        <f>SUM(E10:E11)</f>
        <v>0</v>
      </c>
      <c r="H12" s="395"/>
      <c r="I12" s="404"/>
      <c r="J12" s="395"/>
      <c r="K12" s="408">
        <f>SUM(I10:I11)</f>
        <v>0</v>
      </c>
    </row>
    <row r="13" spans="1:16" ht="24.75" customHeight="1">
      <c r="A13" s="102" t="s">
        <v>505</v>
      </c>
      <c r="B13" s="101"/>
      <c r="C13" s="711"/>
      <c r="D13" s="101"/>
      <c r="E13" s="405">
        <v>3873464032667</v>
      </c>
      <c r="F13" s="395"/>
      <c r="G13" s="395"/>
      <c r="H13" s="395"/>
      <c r="I13" s="395">
        <v>3967612426797</v>
      </c>
      <c r="J13" s="395"/>
      <c r="K13" s="395"/>
    </row>
    <row r="14" spans="1:16" ht="24.75" customHeight="1">
      <c r="A14" s="102" t="s">
        <v>379</v>
      </c>
      <c r="B14" s="101"/>
      <c r="C14" s="711">
        <v>37</v>
      </c>
      <c r="D14" s="101"/>
      <c r="E14" s="395">
        <v>45305960152</v>
      </c>
      <c r="F14" s="395"/>
      <c r="G14" s="395"/>
      <c r="H14" s="395"/>
      <c r="I14" s="395">
        <v>-529131969678</v>
      </c>
      <c r="J14" s="395"/>
      <c r="K14" s="395"/>
    </row>
    <row r="15" spans="1:16" ht="24.75" customHeight="1">
      <c r="A15" s="102" t="s">
        <v>506</v>
      </c>
      <c r="B15" s="101"/>
      <c r="C15" s="711"/>
      <c r="D15" s="101"/>
      <c r="E15" s="404"/>
      <c r="F15" s="395"/>
      <c r="G15" s="405">
        <f>E13+E14</f>
        <v>3918769992819</v>
      </c>
      <c r="H15" s="395"/>
      <c r="I15" s="404"/>
      <c r="J15" s="395"/>
      <c r="K15" s="405">
        <f>I13+I14</f>
        <v>3438480457119</v>
      </c>
    </row>
    <row r="16" spans="1:16" ht="24.75" customHeight="1">
      <c r="A16" s="102" t="s">
        <v>490</v>
      </c>
      <c r="B16" s="101"/>
      <c r="C16" s="290"/>
      <c r="D16" s="101"/>
      <c r="E16" s="395"/>
      <c r="F16" s="395"/>
      <c r="G16" s="405">
        <f>'صورت تغییرات در وضعیت مالی'!G37</f>
        <v>564167254551</v>
      </c>
      <c r="H16" s="395"/>
      <c r="I16" s="395"/>
      <c r="J16" s="395"/>
      <c r="K16" s="395">
        <f>'صورت تغییرات در وضعیت مالی'!K37</f>
        <v>367534329427</v>
      </c>
      <c r="M16" s="414">
        <f>G16-'صورت تغییرات در وضعیت مالی'!G37</f>
        <v>0</v>
      </c>
      <c r="N16" s="414">
        <f>K16-'صورت تغییرات در وضعیت مالی'!K37</f>
        <v>0</v>
      </c>
    </row>
    <row r="17" spans="1:15" ht="24.75" customHeight="1">
      <c r="A17" s="102" t="s">
        <v>507</v>
      </c>
      <c r="B17" s="101"/>
      <c r="C17" s="290"/>
      <c r="D17" s="101"/>
      <c r="E17" s="405">
        <f>-E8</f>
        <v>100953221045</v>
      </c>
      <c r="F17" s="395"/>
      <c r="G17" s="395"/>
      <c r="H17" s="395"/>
      <c r="I17" s="395">
        <v>112755206273</v>
      </c>
      <c r="J17" s="395"/>
      <c r="K17" s="395"/>
      <c r="O17" s="517">
        <f>G15-K19</f>
        <v>0</v>
      </c>
    </row>
    <row r="18" spans="1:15" ht="24.75" customHeight="1">
      <c r="A18" s="102" t="s">
        <v>955</v>
      </c>
      <c r="B18" s="101"/>
      <c r="C18" s="290"/>
      <c r="D18" s="101"/>
      <c r="E18" s="395"/>
      <c r="F18" s="395"/>
      <c r="G18" s="395">
        <f>E17</f>
        <v>100953221045</v>
      </c>
      <c r="H18" s="395"/>
      <c r="I18" s="395"/>
      <c r="J18" s="395"/>
      <c r="K18" s="395">
        <f>I17</f>
        <v>112755206273</v>
      </c>
    </row>
    <row r="19" spans="1:15" ht="24.75" customHeight="1">
      <c r="A19" s="100" t="s">
        <v>508</v>
      </c>
      <c r="B19" s="101"/>
      <c r="C19" s="290"/>
      <c r="D19" s="101"/>
      <c r="E19" s="404"/>
      <c r="F19" s="395"/>
      <c r="G19" s="409">
        <f>G15+G16+G18</f>
        <v>4583890468415</v>
      </c>
      <c r="H19" s="395"/>
      <c r="I19" s="404"/>
      <c r="J19" s="395"/>
      <c r="K19" s="409">
        <f>K15+K16+K18</f>
        <v>3918769992819</v>
      </c>
    </row>
    <row r="20" spans="1:15" ht="24.75" customHeight="1" thickBot="1">
      <c r="A20" s="100" t="s">
        <v>135</v>
      </c>
      <c r="B20" s="101"/>
      <c r="C20" s="99"/>
      <c r="D20" s="101"/>
      <c r="E20" s="395"/>
      <c r="F20" s="395"/>
      <c r="G20" s="410">
        <f>G9+G12+G19</f>
        <v>6101369528614</v>
      </c>
      <c r="H20" s="395"/>
      <c r="I20" s="395"/>
      <c r="J20" s="395"/>
      <c r="K20" s="410">
        <f>K9+K12+K19</f>
        <v>5537202274063</v>
      </c>
    </row>
    <row r="21" spans="1:15" ht="24.75" customHeight="1" thickTop="1">
      <c r="A21" s="751" t="s">
        <v>617</v>
      </c>
      <c r="B21" s="751"/>
      <c r="C21" s="751"/>
      <c r="D21" s="751"/>
      <c r="E21" s="751"/>
      <c r="F21" s="751"/>
      <c r="G21" s="751"/>
      <c r="H21" s="751"/>
      <c r="I21" s="751"/>
      <c r="J21" s="751"/>
      <c r="K21" s="751"/>
    </row>
    <row r="22" spans="1:15" ht="18"/>
    <row r="23" spans="1:15" ht="29.25" customHeight="1">
      <c r="G23" s="414"/>
      <c r="K23" s="414"/>
    </row>
    <row r="39" ht="18"/>
    <row r="40" ht="18"/>
    <row r="41" ht="18"/>
    <row r="42" ht="18"/>
  </sheetData>
  <mergeCells count="7">
    <mergeCell ref="A21:K21"/>
    <mergeCell ref="A1:K1"/>
    <mergeCell ref="A2:K2"/>
    <mergeCell ref="A3:K3"/>
    <mergeCell ref="I4:K4"/>
    <mergeCell ref="E5:G5"/>
    <mergeCell ref="I5:K5"/>
  </mergeCells>
  <hyperlinks>
    <hyperlink ref="C9" location="'25-26'!A1" display="'25-26'!A1"/>
    <hyperlink ref="C12" location="'25-26'!A1" display="'25-26'!A1"/>
    <hyperlink ref="C14" location="'53'!A1" display="'53'!A1"/>
  </hyperlinks>
  <pageMargins left="0.70866141732283472" right="0.70866141732283472" top="0.74803149606299213" bottom="0.74803149606299213" header="0.31496062992125984" footer="0.31496062992125984"/>
  <pageSetup scale="77" firstPageNumber="4" orientation="portrait" useFirstPageNumber="1" r:id="rId1"/>
  <headerFooter differentFirst="1">
    <oddFooter>&amp;C&amp;P</oddFooter>
    <firstFooter>&amp;C&amp;"B Nazanin,Regular" 4</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8"/>
  <sheetViews>
    <sheetView rightToLeft="1" view="pageLayout" topLeftCell="A31" zoomScaleNormal="100" zoomScaleSheetLayoutView="100" workbookViewId="0">
      <selection activeCell="B34" sqref="B34"/>
    </sheetView>
  </sheetViews>
  <sheetFormatPr defaultColWidth="9.140625" defaultRowHeight="18"/>
  <cols>
    <col min="1" max="1" width="0.85546875" style="79" customWidth="1"/>
    <col min="2" max="2" width="40.140625" style="79" customWidth="1"/>
    <col min="3" max="3" width="0.85546875" style="79" customWidth="1"/>
    <col min="4" max="4" width="6.42578125" style="79" customWidth="1"/>
    <col min="5" max="5" width="0.7109375" style="79" customWidth="1"/>
    <col min="6" max="6" width="15.85546875" style="79" customWidth="1"/>
    <col min="7" max="7" width="0.7109375" style="79" customWidth="1"/>
    <col min="8" max="8" width="16.42578125" style="79" customWidth="1"/>
    <col min="9" max="9" width="0.7109375" style="79" customWidth="1"/>
    <col min="10" max="10" width="15.42578125" style="79" customWidth="1"/>
    <col min="11" max="11" width="0.7109375" style="79" customWidth="1"/>
    <col min="12" max="12" width="17.28515625" style="79" customWidth="1"/>
    <col min="13" max="13" width="0.42578125" style="79" customWidth="1"/>
    <col min="14" max="14" width="12" style="79" bestFit="1" customWidth="1"/>
    <col min="15" max="15" width="9.140625" style="79"/>
    <col min="16" max="16" width="30.85546875" style="79" customWidth="1"/>
    <col min="17" max="17" width="15.85546875" style="79" bestFit="1" customWidth="1"/>
    <col min="18" max="22" width="9.140625" style="79"/>
    <col min="23" max="23" width="6.7109375" style="79" customWidth="1"/>
    <col min="24" max="25" width="36.140625" style="79" customWidth="1"/>
    <col min="26" max="27" width="20.140625" style="79" customWidth="1"/>
    <col min="28" max="28" width="30.85546875" style="79" customWidth="1"/>
    <col min="29" max="16384" width="9.140625" style="79"/>
  </cols>
  <sheetData>
    <row r="1" spans="2:17" ht="20.100000000000001" customHeight="1">
      <c r="B1" s="752" t="str">
        <f>مفروضات!$C$1</f>
        <v>دانشگاه علوم پزشکی و خدمات بهداشتی درمانی سمنان</v>
      </c>
      <c r="C1" s="752"/>
      <c r="D1" s="752"/>
      <c r="E1" s="752"/>
      <c r="F1" s="752"/>
      <c r="G1" s="752"/>
      <c r="H1" s="752"/>
      <c r="I1" s="752"/>
      <c r="J1" s="752"/>
      <c r="K1" s="752"/>
      <c r="L1" s="752"/>
      <c r="M1" s="78"/>
      <c r="N1" s="78"/>
      <c r="O1" s="78"/>
      <c r="P1" s="78"/>
      <c r="Q1" s="78"/>
    </row>
    <row r="2" spans="2:17" ht="20.100000000000001" customHeight="1">
      <c r="B2" s="753" t="s">
        <v>153</v>
      </c>
      <c r="C2" s="753"/>
      <c r="D2" s="753"/>
      <c r="E2" s="753"/>
      <c r="F2" s="753"/>
      <c r="G2" s="753"/>
      <c r="H2" s="753"/>
      <c r="I2" s="753"/>
      <c r="J2" s="753"/>
      <c r="K2" s="753"/>
      <c r="L2" s="753"/>
      <c r="M2" s="78"/>
      <c r="N2" s="78"/>
      <c r="O2" s="78"/>
      <c r="P2" s="78"/>
      <c r="Q2" s="78"/>
    </row>
    <row r="3" spans="2:17" ht="20.100000000000001" customHeight="1">
      <c r="B3" s="752" t="str">
        <f>مفروضات!$C$5</f>
        <v>برای سال مالي منتهي به 29 اسفند ماه 1402</v>
      </c>
      <c r="C3" s="752"/>
      <c r="D3" s="752"/>
      <c r="E3" s="752"/>
      <c r="F3" s="752"/>
      <c r="G3" s="752"/>
      <c r="H3" s="752"/>
      <c r="I3" s="752"/>
      <c r="J3" s="752"/>
      <c r="K3" s="752"/>
      <c r="L3" s="752"/>
      <c r="M3" s="78"/>
      <c r="N3" s="78"/>
      <c r="O3" s="78"/>
      <c r="P3" s="78"/>
      <c r="Q3" s="78"/>
    </row>
    <row r="4" spans="2:17" ht="20.100000000000001" customHeight="1">
      <c r="B4" s="94"/>
      <c r="C4" s="94"/>
      <c r="D4" s="94"/>
      <c r="E4" s="94"/>
      <c r="F4" s="757" t="s">
        <v>158</v>
      </c>
      <c r="G4" s="757"/>
      <c r="H4" s="757"/>
      <c r="I4" s="94"/>
      <c r="J4" s="758" t="s">
        <v>156</v>
      </c>
      <c r="K4" s="94"/>
      <c r="L4" s="758" t="s">
        <v>157</v>
      </c>
      <c r="M4" s="78"/>
      <c r="N4" s="78"/>
      <c r="O4" s="78"/>
      <c r="P4" s="78"/>
      <c r="Q4" s="78"/>
    </row>
    <row r="5" spans="2:17" ht="20.100000000000001" customHeight="1">
      <c r="B5" s="95"/>
      <c r="C5" s="95"/>
      <c r="D5" s="96" t="s">
        <v>116</v>
      </c>
      <c r="E5" s="97"/>
      <c r="F5" s="192" t="s">
        <v>154</v>
      </c>
      <c r="G5" s="193"/>
      <c r="H5" s="192" t="s">
        <v>155</v>
      </c>
      <c r="I5" s="97"/>
      <c r="J5" s="759"/>
      <c r="K5" s="193"/>
      <c r="L5" s="759"/>
    </row>
    <row r="6" spans="2:17" ht="20.100000000000001" customHeight="1">
      <c r="B6" s="98"/>
      <c r="C6" s="98"/>
      <c r="D6" s="98"/>
      <c r="E6" s="98"/>
      <c r="F6" s="97" t="s">
        <v>70</v>
      </c>
      <c r="G6" s="98"/>
      <c r="H6" s="97" t="s">
        <v>70</v>
      </c>
      <c r="I6" s="98"/>
      <c r="J6" s="97" t="s">
        <v>70</v>
      </c>
      <c r="K6" s="98"/>
      <c r="L6" s="97" t="s">
        <v>70</v>
      </c>
    </row>
    <row r="7" spans="2:17" ht="20.100000000000001" customHeight="1">
      <c r="B7" s="194" t="s">
        <v>198</v>
      </c>
      <c r="C7" s="99"/>
      <c r="D7" s="99"/>
      <c r="E7" s="99"/>
      <c r="F7" s="99"/>
      <c r="G7" s="99"/>
      <c r="H7" s="99"/>
      <c r="I7" s="99"/>
      <c r="J7" s="99"/>
      <c r="K7" s="99"/>
      <c r="L7" s="99"/>
    </row>
    <row r="8" spans="2:17" ht="20.100000000000001" customHeight="1">
      <c r="B8" s="195" t="s">
        <v>509</v>
      </c>
      <c r="C8" s="101"/>
      <c r="D8" s="711"/>
      <c r="E8" s="101"/>
      <c r="F8" s="138"/>
      <c r="G8" s="101"/>
      <c r="H8" s="138"/>
      <c r="I8" s="101"/>
      <c r="J8" s="138"/>
      <c r="K8" s="101"/>
      <c r="L8" s="138"/>
      <c r="P8" s="414">
        <f>J10+J11</f>
        <v>1552784000000</v>
      </c>
    </row>
    <row r="9" spans="2:17" ht="20.100000000000001" customHeight="1">
      <c r="B9" s="195" t="s">
        <v>510</v>
      </c>
      <c r="C9" s="101"/>
      <c r="D9" s="711">
        <v>38</v>
      </c>
      <c r="E9" s="101"/>
      <c r="F9" s="395">
        <f>'38-39'!D8</f>
        <v>8500551000000</v>
      </c>
      <c r="G9" s="395"/>
      <c r="H9" s="395">
        <f>'38-39'!N8</f>
        <v>10585837181076</v>
      </c>
      <c r="I9" s="395"/>
      <c r="J9" s="395">
        <f>'38-39'!R8</f>
        <v>10585837181076</v>
      </c>
      <c r="K9" s="395"/>
      <c r="L9" s="395">
        <f>H9-J9</f>
        <v>0</v>
      </c>
    </row>
    <row r="10" spans="2:17" ht="20.100000000000001" customHeight="1">
      <c r="B10" s="195" t="s">
        <v>511</v>
      </c>
      <c r="C10" s="101"/>
      <c r="D10" s="711">
        <v>38</v>
      </c>
      <c r="E10" s="101"/>
      <c r="F10" s="395">
        <f>'38-39'!D9</f>
        <v>961157000000</v>
      </c>
      <c r="G10" s="395"/>
      <c r="H10" s="395">
        <f>'38-39'!N9</f>
        <v>1821688000000</v>
      </c>
      <c r="I10" s="395"/>
      <c r="J10" s="395">
        <f>'38-39'!R9</f>
        <v>1507784000000</v>
      </c>
      <c r="K10" s="395"/>
      <c r="L10" s="395">
        <f>H10-J10</f>
        <v>313904000000</v>
      </c>
    </row>
    <row r="11" spans="2:17" ht="20.100000000000001" customHeight="1">
      <c r="B11" s="195" t="s">
        <v>1035</v>
      </c>
      <c r="C11" s="101"/>
      <c r="D11" s="711">
        <v>38</v>
      </c>
      <c r="E11" s="101"/>
      <c r="F11" s="395">
        <v>0</v>
      </c>
      <c r="G11" s="395"/>
      <c r="H11" s="395">
        <v>45000000000</v>
      </c>
      <c r="I11" s="395"/>
      <c r="J11" s="395">
        <v>45000000000</v>
      </c>
      <c r="K11" s="395"/>
      <c r="L11" s="395">
        <f>H11-J11</f>
        <v>0</v>
      </c>
    </row>
    <row r="12" spans="2:17" ht="20.100000000000001" customHeight="1">
      <c r="B12" s="196" t="s">
        <v>24</v>
      </c>
      <c r="C12" s="101"/>
      <c r="D12" s="711"/>
      <c r="E12" s="101"/>
      <c r="F12" s="396">
        <f>F9+F10+F11</f>
        <v>9461708000000</v>
      </c>
      <c r="G12" s="395"/>
      <c r="H12" s="396">
        <f>H9+H10+H11</f>
        <v>12452525181076</v>
      </c>
      <c r="I12" s="395"/>
      <c r="J12" s="396">
        <f>J9+J10+J11</f>
        <v>12138621181076</v>
      </c>
      <c r="K12" s="395"/>
      <c r="L12" s="396">
        <f>L10+L11+L9</f>
        <v>313904000000</v>
      </c>
    </row>
    <row r="13" spans="2:17" ht="20.100000000000001" customHeight="1">
      <c r="B13" s="195" t="s">
        <v>512</v>
      </c>
      <c r="C13" s="99"/>
      <c r="D13" s="711"/>
      <c r="E13" s="99"/>
      <c r="F13" s="397"/>
      <c r="G13" s="397"/>
      <c r="H13" s="397"/>
      <c r="I13" s="397"/>
      <c r="J13" s="397"/>
      <c r="K13" s="397"/>
      <c r="L13" s="397"/>
      <c r="P13" s="344"/>
    </row>
    <row r="14" spans="2:17" ht="20.100000000000001" customHeight="1">
      <c r="B14" s="195" t="s">
        <v>621</v>
      </c>
      <c r="C14" s="101"/>
      <c r="D14" s="711"/>
      <c r="E14" s="101"/>
      <c r="F14" s="395">
        <v>0</v>
      </c>
      <c r="G14" s="395"/>
      <c r="H14" s="395">
        <v>0</v>
      </c>
      <c r="I14" s="395"/>
      <c r="J14" s="395">
        <v>0</v>
      </c>
      <c r="K14" s="395"/>
      <c r="L14" s="395">
        <v>0</v>
      </c>
      <c r="P14" s="344"/>
    </row>
    <row r="15" spans="2:17" ht="20.100000000000001" customHeight="1">
      <c r="B15" s="195" t="s">
        <v>483</v>
      </c>
      <c r="C15" s="101"/>
      <c r="D15" s="711"/>
      <c r="E15" s="101"/>
      <c r="F15" s="395">
        <v>0</v>
      </c>
      <c r="G15" s="395"/>
      <c r="H15" s="395">
        <v>0</v>
      </c>
      <c r="I15" s="395"/>
      <c r="J15" s="395">
        <v>0</v>
      </c>
      <c r="K15" s="395"/>
      <c r="L15" s="395">
        <v>0</v>
      </c>
      <c r="O15" s="414"/>
    </row>
    <row r="16" spans="2:17" ht="20.100000000000001" customHeight="1">
      <c r="B16" s="195" t="s">
        <v>112</v>
      </c>
      <c r="C16" s="101"/>
      <c r="D16" s="711"/>
      <c r="E16" s="101"/>
      <c r="F16" s="395">
        <v>0</v>
      </c>
      <c r="G16" s="395"/>
      <c r="H16" s="395">
        <v>0</v>
      </c>
      <c r="I16" s="395"/>
      <c r="J16" s="395">
        <v>0</v>
      </c>
      <c r="K16" s="395"/>
      <c r="L16" s="395">
        <v>0</v>
      </c>
      <c r="N16" s="395"/>
    </row>
    <row r="17" spans="2:17" ht="20.100000000000001" customHeight="1">
      <c r="B17" s="195" t="s">
        <v>513</v>
      </c>
      <c r="C17" s="101"/>
      <c r="D17" s="711">
        <v>39</v>
      </c>
      <c r="E17" s="101"/>
      <c r="F17" s="395">
        <f>'38-39'!D24</f>
        <v>3925000000000</v>
      </c>
      <c r="G17" s="395"/>
      <c r="H17" s="395">
        <f>'38-39'!H27</f>
        <v>4966227750000</v>
      </c>
      <c r="I17" s="395"/>
      <c r="J17" s="395">
        <f>'38-39'!J27</f>
        <v>4600224009115</v>
      </c>
      <c r="K17" s="395"/>
      <c r="L17" s="395">
        <f>H17-J17</f>
        <v>366003740885</v>
      </c>
    </row>
    <row r="18" spans="2:17" ht="20.100000000000001" customHeight="1">
      <c r="B18" s="195" t="s">
        <v>113</v>
      </c>
      <c r="C18" s="101"/>
      <c r="D18" s="711"/>
      <c r="E18" s="101"/>
      <c r="F18" s="395">
        <v>0</v>
      </c>
      <c r="G18" s="395"/>
      <c r="H18" s="395">
        <v>0</v>
      </c>
      <c r="I18" s="395"/>
      <c r="J18" s="395">
        <v>0</v>
      </c>
      <c r="K18" s="395"/>
      <c r="L18" s="395">
        <v>0</v>
      </c>
      <c r="N18" s="414"/>
    </row>
    <row r="19" spans="2:17" ht="20.100000000000001" customHeight="1">
      <c r="B19" s="195" t="s">
        <v>114</v>
      </c>
      <c r="C19" s="101"/>
      <c r="D19" s="711"/>
      <c r="E19" s="101"/>
      <c r="F19" s="395">
        <v>0</v>
      </c>
      <c r="G19" s="395"/>
      <c r="H19" s="395">
        <v>0</v>
      </c>
      <c r="I19" s="395"/>
      <c r="J19" s="395">
        <v>0</v>
      </c>
      <c r="K19" s="395"/>
      <c r="L19" s="395">
        <v>0</v>
      </c>
    </row>
    <row r="20" spans="2:17" ht="20.100000000000001" customHeight="1">
      <c r="B20" s="195" t="s">
        <v>514</v>
      </c>
      <c r="C20" s="101"/>
      <c r="D20" s="711"/>
      <c r="E20" s="101"/>
      <c r="F20" s="395"/>
      <c r="G20" s="395"/>
      <c r="H20" s="395"/>
      <c r="I20" s="395"/>
      <c r="J20" s="395"/>
      <c r="K20" s="395"/>
      <c r="L20" s="395"/>
    </row>
    <row r="21" spans="2:17" ht="20.100000000000001" customHeight="1">
      <c r="B21" s="196" t="s">
        <v>24</v>
      </c>
      <c r="C21" s="101"/>
      <c r="D21" s="711"/>
      <c r="E21" s="101"/>
      <c r="F21" s="396">
        <f>SUM(F14:F20)</f>
        <v>3925000000000</v>
      </c>
      <c r="G21" s="395"/>
      <c r="H21" s="396">
        <f>H17</f>
        <v>4966227750000</v>
      </c>
      <c r="I21" s="395"/>
      <c r="J21" s="396">
        <f>SUM(J14:J20)</f>
        <v>4600224009115</v>
      </c>
      <c r="K21" s="395"/>
      <c r="L21" s="396">
        <f>SUM(L14:L20)</f>
        <v>366003740885</v>
      </c>
    </row>
    <row r="22" spans="2:17" ht="20.100000000000001" customHeight="1">
      <c r="B22" s="194" t="s">
        <v>159</v>
      </c>
      <c r="C22" s="99"/>
      <c r="D22" s="711"/>
      <c r="E22" s="99"/>
      <c r="F22" s="396">
        <f>F21+F12</f>
        <v>13386708000000</v>
      </c>
      <c r="G22" s="395"/>
      <c r="H22" s="396">
        <f>H21+H12</f>
        <v>17418752931076</v>
      </c>
      <c r="I22" s="395"/>
      <c r="J22" s="396">
        <f>J21+J12</f>
        <v>16738845190191</v>
      </c>
      <c r="K22" s="395"/>
      <c r="L22" s="396">
        <f>L21+L12</f>
        <v>679907740885</v>
      </c>
      <c r="P22" s="344"/>
    </row>
    <row r="23" spans="2:17" ht="20.100000000000001" customHeight="1">
      <c r="B23" s="194" t="s">
        <v>199</v>
      </c>
      <c r="C23" s="99"/>
      <c r="D23" s="711"/>
      <c r="E23" s="99"/>
      <c r="F23" s="397"/>
      <c r="G23" s="397"/>
      <c r="H23" s="397"/>
      <c r="I23" s="397"/>
      <c r="J23" s="397"/>
      <c r="K23" s="397"/>
      <c r="L23" s="397"/>
      <c r="P23" s="344"/>
    </row>
    <row r="24" spans="2:17" ht="20.100000000000001" customHeight="1">
      <c r="B24" s="195" t="s">
        <v>128</v>
      </c>
      <c r="C24" s="101"/>
      <c r="D24" s="711">
        <v>40</v>
      </c>
      <c r="E24" s="101"/>
      <c r="F24" s="395">
        <f>-('40'!D12+'40'!D26)</f>
        <v>-8075376682381</v>
      </c>
      <c r="G24" s="395"/>
      <c r="H24" s="395">
        <f>-('40'!N12+'40'!N26)</f>
        <v>-7974577372822</v>
      </c>
      <c r="I24" s="395"/>
      <c r="J24" s="395">
        <f>-('40-1'!P23+'40-1'!P9)</f>
        <v>-7973799491416</v>
      </c>
      <c r="K24" s="395"/>
      <c r="L24" s="395">
        <f>H24-J24</f>
        <v>-777881406</v>
      </c>
    </row>
    <row r="25" spans="2:17" ht="20.100000000000001" customHeight="1">
      <c r="B25" s="195" t="s">
        <v>108</v>
      </c>
      <c r="C25" s="101"/>
      <c r="D25" s="711">
        <v>40</v>
      </c>
      <c r="E25" s="101"/>
      <c r="F25" s="395">
        <f>-('40'!D13+'40'!D27)</f>
        <v>-2369012064646</v>
      </c>
      <c r="G25" s="395"/>
      <c r="H25" s="395">
        <f>-('40'!N13+'40'!N27)</f>
        <v>-5282868814646</v>
      </c>
      <c r="I25" s="395"/>
      <c r="J25" s="395">
        <f>-('40-1'!P24+'40-1'!P10)</f>
        <v>-4330401225664</v>
      </c>
      <c r="K25" s="395"/>
      <c r="L25" s="395">
        <f t="shared" ref="L25:L31" si="0">H25-J25</f>
        <v>-952467588982</v>
      </c>
    </row>
    <row r="26" spans="2:17" ht="20.100000000000001" customHeight="1">
      <c r="B26" s="195" t="s">
        <v>515</v>
      </c>
      <c r="C26" s="101"/>
      <c r="D26" s="711">
        <v>40</v>
      </c>
      <c r="E26" s="101"/>
      <c r="F26" s="395">
        <f>-('40'!D14+'40'!D28)</f>
        <v>-65661611306</v>
      </c>
      <c r="G26" s="395"/>
      <c r="H26" s="395">
        <f>-('40'!N14+'40'!N28)</f>
        <v>-65661611306</v>
      </c>
      <c r="I26" s="395"/>
      <c r="J26" s="395">
        <f>-('40-1'!P25+'40-1'!P11)</f>
        <v>-65661611306</v>
      </c>
      <c r="K26" s="395"/>
      <c r="L26" s="395">
        <f t="shared" si="0"/>
        <v>0</v>
      </c>
    </row>
    <row r="27" spans="2:17" ht="20.100000000000001" customHeight="1">
      <c r="B27" s="195" t="s">
        <v>109</v>
      </c>
      <c r="C27" s="101"/>
      <c r="D27" s="711">
        <v>40</v>
      </c>
      <c r="E27" s="101"/>
      <c r="F27" s="395">
        <f>'40'!D16+'40'!D30</f>
        <v>0</v>
      </c>
      <c r="G27" s="395"/>
      <c r="H27" s="395">
        <f>-('40'!N16+'40'!N30)</f>
        <v>-1270000000</v>
      </c>
      <c r="I27" s="395"/>
      <c r="J27" s="395">
        <f>-('40-1'!P27+'40-1'!P13)</f>
        <v>-1000000000</v>
      </c>
      <c r="K27" s="395"/>
      <c r="L27" s="395">
        <f t="shared" si="0"/>
        <v>-270000000</v>
      </c>
      <c r="O27" s="344"/>
    </row>
    <row r="28" spans="2:17" ht="20.100000000000001" customHeight="1">
      <c r="B28" s="195" t="s">
        <v>171</v>
      </c>
      <c r="C28" s="101"/>
      <c r="D28" s="711">
        <v>40</v>
      </c>
      <c r="E28" s="101"/>
      <c r="F28" s="395">
        <f>-('40'!D17+'40'!D31)</f>
        <v>-1574821858222</v>
      </c>
      <c r="G28" s="395"/>
      <c r="H28" s="395">
        <f>-('40'!N17+'40'!N31)</f>
        <v>-1887008348857</v>
      </c>
      <c r="I28" s="395"/>
      <c r="J28" s="395">
        <f>-('40-1'!P28+'40-1'!P14)</f>
        <v>-1886719495654</v>
      </c>
      <c r="K28" s="395"/>
      <c r="L28" s="395">
        <f t="shared" si="0"/>
        <v>-288853203</v>
      </c>
    </row>
    <row r="29" spans="2:17" ht="20.100000000000001" customHeight="1">
      <c r="B29" s="195" t="s">
        <v>516</v>
      </c>
      <c r="C29" s="101"/>
      <c r="D29" s="711">
        <v>40</v>
      </c>
      <c r="E29" s="101"/>
      <c r="F29" s="395">
        <f>-('40'!D18+'40'!D32)</f>
        <v>-340678783445</v>
      </c>
      <c r="G29" s="395"/>
      <c r="H29" s="395">
        <f>-('40'!N32+'40'!N18)</f>
        <v>-340678783445</v>
      </c>
      <c r="I29" s="395"/>
      <c r="J29" s="395">
        <f>-('40-1'!P29+'40-1'!P15)</f>
        <v>-340654483775</v>
      </c>
      <c r="K29" s="395"/>
      <c r="L29" s="395">
        <f t="shared" si="0"/>
        <v>-24299670</v>
      </c>
      <c r="Q29" s="197"/>
    </row>
    <row r="30" spans="2:17" ht="20.100000000000001" customHeight="1">
      <c r="B30" s="195" t="s">
        <v>160</v>
      </c>
      <c r="C30" s="101"/>
      <c r="D30" s="711">
        <v>41</v>
      </c>
      <c r="E30" s="101"/>
      <c r="F30" s="395">
        <f>-('41-1'!D19)</f>
        <v>-961157000000</v>
      </c>
      <c r="G30" s="395"/>
      <c r="H30" s="395">
        <f>-('41-1'!N19)</f>
        <v>-1821688000000</v>
      </c>
      <c r="I30" s="395"/>
      <c r="J30" s="395">
        <f>-('41-2'!R16)</f>
        <v>-550296637424</v>
      </c>
      <c r="K30" s="395"/>
      <c r="L30" s="395">
        <f t="shared" si="0"/>
        <v>-1271391362576</v>
      </c>
    </row>
    <row r="31" spans="2:17" ht="20.100000000000001" customHeight="1">
      <c r="B31" s="195" t="s">
        <v>1037</v>
      </c>
      <c r="C31" s="101"/>
      <c r="D31" s="711"/>
      <c r="E31" s="101"/>
      <c r="F31" s="395">
        <f>F11</f>
        <v>0</v>
      </c>
      <c r="G31" s="395"/>
      <c r="H31" s="395">
        <f>-H11</f>
        <v>-45000000000</v>
      </c>
      <c r="I31" s="395"/>
      <c r="J31" s="395">
        <f>-('41-2'!R23)</f>
        <v>-40878625000</v>
      </c>
      <c r="K31" s="395"/>
      <c r="L31" s="395">
        <f t="shared" si="0"/>
        <v>-4121375000</v>
      </c>
    </row>
    <row r="32" spans="2:17" ht="20.100000000000001" customHeight="1">
      <c r="B32" s="196" t="s">
        <v>161</v>
      </c>
      <c r="C32" s="101"/>
      <c r="D32" s="711"/>
      <c r="E32" s="101"/>
      <c r="F32" s="398">
        <f>SUM(F24:F31)</f>
        <v>-13386708000000</v>
      </c>
      <c r="G32" s="395"/>
      <c r="H32" s="398">
        <f>SUM(H24:H31)</f>
        <v>-17418752931076</v>
      </c>
      <c r="I32" s="395"/>
      <c r="J32" s="398">
        <f>SUM(J24:J31)</f>
        <v>-15189411570239</v>
      </c>
      <c r="K32" s="395"/>
      <c r="L32" s="398">
        <f>SUM(L24:L31)</f>
        <v>-2229341360837</v>
      </c>
    </row>
    <row r="33" spans="2:15" customFormat="1" ht="20.100000000000001" customHeight="1">
      <c r="D33" s="711"/>
      <c r="F33" s="399"/>
      <c r="G33" s="399"/>
      <c r="H33" s="399"/>
      <c r="I33" s="399"/>
      <c r="J33" s="399"/>
      <c r="K33" s="399"/>
      <c r="L33" s="399"/>
    </row>
    <row r="34" spans="2:15" ht="20.100000000000001" customHeight="1" thickBot="1">
      <c r="B34" s="196" t="s">
        <v>517</v>
      </c>
      <c r="C34" s="101"/>
      <c r="D34" s="711"/>
      <c r="E34" s="101"/>
      <c r="F34" s="400">
        <f>F22+F32</f>
        <v>0</v>
      </c>
      <c r="G34" s="395"/>
      <c r="H34" s="400">
        <f>H32+H22</f>
        <v>0</v>
      </c>
      <c r="I34" s="395"/>
      <c r="J34" s="400">
        <f>J22+J32</f>
        <v>1549433619952</v>
      </c>
      <c r="K34" s="395"/>
      <c r="L34" s="400">
        <f>L22+L32</f>
        <v>-1549433619952</v>
      </c>
    </row>
    <row r="35" spans="2:15" ht="20.100000000000001" customHeight="1" thickTop="1">
      <c r="B35" s="194" t="s">
        <v>518</v>
      </c>
      <c r="C35" s="99"/>
      <c r="D35" s="711"/>
      <c r="E35" s="99"/>
      <c r="F35" s="397"/>
      <c r="G35" s="397"/>
      <c r="H35" s="397"/>
      <c r="I35" s="397"/>
      <c r="J35" s="397"/>
      <c r="K35" s="397"/>
      <c r="L35" s="397"/>
      <c r="O35" s="414"/>
    </row>
    <row r="36" spans="2:15" ht="20.100000000000001" customHeight="1">
      <c r="B36" s="195" t="s">
        <v>519</v>
      </c>
      <c r="C36" s="101"/>
      <c r="D36" s="711">
        <v>42</v>
      </c>
      <c r="E36" s="101"/>
      <c r="F36" s="395">
        <f>'43'!D13</f>
        <v>693412591086</v>
      </c>
      <c r="G36" s="395"/>
      <c r="H36" s="395">
        <f>'43'!P13</f>
        <v>1066092976595</v>
      </c>
      <c r="I36" s="395"/>
      <c r="J36" s="395">
        <f>'صورت مقایسه بودجه و عملکرد'!H36</f>
        <v>1066092976595</v>
      </c>
      <c r="K36" s="395"/>
      <c r="L36" s="395">
        <f>J36-H36</f>
        <v>0</v>
      </c>
    </row>
    <row r="37" spans="2:15" ht="20.100000000000001" customHeight="1">
      <c r="B37" s="195" t="s">
        <v>520</v>
      </c>
      <c r="C37" s="101"/>
      <c r="D37" s="711">
        <v>43</v>
      </c>
      <c r="E37" s="101"/>
      <c r="F37" s="401">
        <f>-F36</f>
        <v>-693412591086</v>
      </c>
      <c r="G37" s="395"/>
      <c r="H37" s="401">
        <f>-H36</f>
        <v>-1066092976595</v>
      </c>
      <c r="I37" s="395"/>
      <c r="J37" s="402">
        <f>-('43'!P28+'43'!P45+'43-3'!R17+'43-3'!R31)</f>
        <v>-834119042041</v>
      </c>
      <c r="K37" s="395"/>
      <c r="L37" s="403">
        <f>H37-J37</f>
        <v>-231973934554</v>
      </c>
    </row>
    <row r="38" spans="2:15" ht="20.100000000000001" customHeight="1">
      <c r="B38" s="195" t="s">
        <v>521</v>
      </c>
      <c r="C38" s="101"/>
      <c r="D38" s="711"/>
      <c r="E38" s="101"/>
      <c r="F38" s="404">
        <v>0</v>
      </c>
      <c r="G38" s="395"/>
      <c r="H38" s="404">
        <v>0</v>
      </c>
      <c r="I38" s="395"/>
      <c r="J38" s="395">
        <f>J36+J37</f>
        <v>231973934554</v>
      </c>
      <c r="K38" s="395"/>
      <c r="L38" s="395"/>
    </row>
    <row r="39" spans="2:15" ht="20.100000000000001" customHeight="1">
      <c r="B39" s="195" t="s">
        <v>522</v>
      </c>
      <c r="C39" s="101"/>
      <c r="D39" s="711"/>
      <c r="E39" s="101"/>
      <c r="F39" s="395"/>
      <c r="G39" s="395"/>
      <c r="H39" s="395"/>
      <c r="I39" s="395"/>
      <c r="J39" s="395">
        <f>J34</f>
        <v>1549433619952</v>
      </c>
      <c r="K39" s="395"/>
      <c r="L39" s="395"/>
    </row>
    <row r="40" spans="2:15" ht="20.100000000000001" customHeight="1" thickBot="1">
      <c r="B40" s="196" t="s">
        <v>523</v>
      </c>
      <c r="C40" s="101"/>
      <c r="D40" s="290"/>
      <c r="E40" s="101"/>
      <c r="F40" s="400">
        <v>0</v>
      </c>
      <c r="G40" s="395"/>
      <c r="H40" s="400">
        <v>0</v>
      </c>
      <c r="I40" s="395"/>
      <c r="J40" s="400">
        <f>J38+J34</f>
        <v>1781407554506</v>
      </c>
      <c r="K40" s="395"/>
      <c r="L40" s="400">
        <v>0</v>
      </c>
    </row>
    <row r="41" spans="2:15" ht="20.100000000000001" customHeight="1" thickTop="1">
      <c r="B41" s="196"/>
      <c r="C41" s="101"/>
      <c r="D41" s="101"/>
      <c r="E41" s="101"/>
      <c r="F41" s="138"/>
      <c r="G41" s="101"/>
      <c r="H41" s="138"/>
      <c r="I41" s="101"/>
      <c r="J41" s="138"/>
      <c r="K41" s="101"/>
      <c r="L41" s="138"/>
    </row>
    <row r="42" spans="2:15" ht="20.100000000000001" customHeight="1">
      <c r="B42" s="751" t="s">
        <v>617</v>
      </c>
      <c r="C42" s="751"/>
      <c r="D42" s="751"/>
      <c r="E42" s="751"/>
      <c r="F42" s="751"/>
      <c r="G42" s="751"/>
      <c r="H42" s="751"/>
      <c r="I42" s="751"/>
      <c r="J42" s="751"/>
      <c r="K42" s="751"/>
      <c r="L42" s="751"/>
    </row>
    <row r="43" spans="2:15" hidden="1"/>
    <row r="44" spans="2:15" hidden="1"/>
    <row r="45" spans="2:15" hidden="1"/>
    <row r="46" spans="2:15" hidden="1"/>
    <row r="47" spans="2:15" hidden="1"/>
    <row r="48" spans="2:15" hidden="1"/>
    <row r="49" spans="2:12" hidden="1"/>
    <row r="50" spans="2:12" hidden="1"/>
    <row r="51" spans="2:12" hidden="1"/>
    <row r="52" spans="2:12" hidden="1"/>
    <row r="53" spans="2:12" hidden="1"/>
    <row r="54" spans="2:12" hidden="1"/>
    <row r="55" spans="2:12" hidden="1"/>
    <row r="56" spans="2:12" hidden="1"/>
    <row r="57" spans="2:12" hidden="1"/>
    <row r="58" spans="2:12" hidden="1">
      <c r="B58" s="756"/>
      <c r="C58" s="756"/>
      <c r="D58" s="756"/>
      <c r="E58" s="756"/>
      <c r="F58" s="756"/>
      <c r="G58" s="756"/>
      <c r="H58" s="756"/>
      <c r="I58" s="756"/>
      <c r="J58" s="756"/>
      <c r="K58" s="756"/>
      <c r="L58" s="756"/>
    </row>
  </sheetData>
  <mergeCells count="8">
    <mergeCell ref="B58:L58"/>
    <mergeCell ref="B1:L1"/>
    <mergeCell ref="B2:L2"/>
    <mergeCell ref="B3:L3"/>
    <mergeCell ref="F4:H4"/>
    <mergeCell ref="J4:J5"/>
    <mergeCell ref="L4:L5"/>
    <mergeCell ref="B42:L42"/>
  </mergeCells>
  <hyperlinks>
    <hyperlink ref="D9" location="'57-58'!A1" display="'57-58'!A1"/>
    <hyperlink ref="D10" location="'57-58'!A1" display="'57-58'!A1"/>
    <hyperlink ref="D17" location="'57-58'!A1" display="'57-58'!A1"/>
    <hyperlink ref="D24" location="'59'!A1" display="'59'!A1"/>
    <hyperlink ref="D25" location="'59'!A1" display="'59'!A1"/>
    <hyperlink ref="D26" location="'59'!A1" display="'59'!A1"/>
    <hyperlink ref="D30" location="'60-1'!A1" display="'60-1'!A1"/>
    <hyperlink ref="D36" location="'62-63'!A1" display="'62-63'!A1"/>
    <hyperlink ref="D37" location="'62-63'!A1" display="'62-63'!A1"/>
    <hyperlink ref="D27" location="'59'!A1" display="'59'!A1"/>
    <hyperlink ref="D29" location="'59'!A1" display="'59'!A1"/>
    <hyperlink ref="D28" location="'59'!A1" display="'59'!A1"/>
  </hyperlinks>
  <printOptions horizontalCentered="1"/>
  <pageMargins left="0.43937007874015749" right="3.937007874015748E-2" top="3.937007874015748E-2" bottom="3.937007874015748E-2" header="3.937007874015748E-2" footer="3.937007874015748E-2"/>
  <pageSetup scale="64" firstPageNumber="5" orientation="portrait" useFirstPageNumber="1" r:id="rId1"/>
  <headerFooter>
    <oddFooter>&amp;C&amp;"B Nazanin,Bold"&amp;P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9"/>
  <sheetViews>
    <sheetView rightToLeft="1" view="pageBreakPreview" topLeftCell="A22" zoomScaleNormal="100" zoomScaleSheetLayoutView="100" workbookViewId="0">
      <selection activeCell="A22" sqref="A1:XFD1048576"/>
    </sheetView>
  </sheetViews>
  <sheetFormatPr defaultColWidth="9" defaultRowHeight="19.5"/>
  <cols>
    <col min="1" max="1" width="2.7109375" style="5" customWidth="1"/>
    <col min="2" max="2" width="47.42578125" style="19" customWidth="1"/>
    <col min="3" max="3" width="2.140625" style="5" customWidth="1"/>
    <col min="4" max="4" width="12.5703125" style="14" customWidth="1"/>
    <col min="5" max="5" width="2.140625" style="5" customWidth="1"/>
    <col min="6" max="6" width="14.42578125" style="15" customWidth="1"/>
    <col min="7" max="7" width="0.7109375" style="15" customWidth="1"/>
    <col min="8" max="8" width="25.7109375" style="15" customWidth="1"/>
    <col min="9" max="9" width="3.140625" style="5" customWidth="1"/>
    <col min="10" max="10" width="28.140625" style="5" customWidth="1"/>
    <col min="11" max="11" width="17.140625" style="5" customWidth="1"/>
    <col min="12" max="16384" width="9" style="5"/>
  </cols>
  <sheetData>
    <row r="1" spans="1:12" ht="20.25">
      <c r="A1" s="765" t="str">
        <f>مفروضات!$C$1</f>
        <v>دانشگاه علوم پزشکی و خدمات بهداشتی درمانی سمنان</v>
      </c>
      <c r="B1" s="766"/>
      <c r="C1" s="766"/>
      <c r="D1" s="766"/>
      <c r="E1" s="766"/>
      <c r="F1" s="766"/>
      <c r="G1" s="766"/>
      <c r="H1" s="766"/>
      <c r="I1" s="4"/>
      <c r="J1" s="6"/>
      <c r="K1" s="4"/>
      <c r="L1" s="4"/>
    </row>
    <row r="2" spans="1:12" s="6" customFormat="1">
      <c r="B2" s="767" t="s">
        <v>33</v>
      </c>
      <c r="C2" s="767"/>
      <c r="D2" s="767"/>
      <c r="E2" s="767"/>
      <c r="F2" s="767"/>
      <c r="G2" s="767"/>
      <c r="H2" s="767"/>
    </row>
    <row r="3" spans="1:12" ht="21" customHeight="1">
      <c r="A3" s="6"/>
      <c r="B3" s="767" t="str">
        <f>مفروضات!$C$7</f>
        <v>سال مالي منتهي به 29 اسفند ماه 1402</v>
      </c>
      <c r="C3" s="767"/>
      <c r="D3" s="767"/>
      <c r="E3" s="767"/>
      <c r="F3" s="767"/>
      <c r="G3" s="767"/>
      <c r="H3" s="767"/>
      <c r="I3" s="6"/>
      <c r="J3" s="6"/>
      <c r="K3" s="6"/>
      <c r="L3" s="6"/>
    </row>
    <row r="4" spans="1:12" ht="12" customHeight="1">
      <c r="B4" s="8"/>
      <c r="C4" s="9"/>
      <c r="D4" s="9"/>
      <c r="E4" s="9"/>
      <c r="F4" s="10"/>
      <c r="G4" s="10"/>
      <c r="H4" s="10"/>
    </row>
    <row r="5" spans="1:12" s="23" customFormat="1" ht="19.5" customHeight="1">
      <c r="A5" s="5"/>
      <c r="B5" s="245" t="s">
        <v>219</v>
      </c>
      <c r="C5" s="246"/>
      <c r="D5" s="246"/>
      <c r="E5" s="246"/>
      <c r="F5" s="246"/>
      <c r="G5" s="246"/>
      <c r="H5" s="246"/>
      <c r="I5" s="5"/>
      <c r="J5" s="24"/>
      <c r="K5" s="24"/>
      <c r="L5" s="5"/>
    </row>
    <row r="6" spans="1:12" ht="20.25">
      <c r="B6" s="761" t="s">
        <v>21</v>
      </c>
      <c r="C6" s="761"/>
      <c r="D6" s="761"/>
      <c r="E6" s="761"/>
      <c r="F6" s="761"/>
      <c r="G6" s="761"/>
      <c r="H6" s="761"/>
    </row>
    <row r="7" spans="1:12" ht="67.5" customHeight="1">
      <c r="B7" s="763" t="s">
        <v>660</v>
      </c>
      <c r="C7" s="763"/>
      <c r="D7" s="763"/>
      <c r="E7" s="763"/>
      <c r="F7" s="763"/>
      <c r="G7" s="763"/>
      <c r="H7" s="763"/>
    </row>
    <row r="8" spans="1:12" ht="20.25">
      <c r="B8" s="761" t="s">
        <v>22</v>
      </c>
      <c r="C8" s="761"/>
      <c r="D8" s="761"/>
      <c r="E8" s="761"/>
      <c r="F8" s="761"/>
      <c r="G8" s="761"/>
      <c r="H8" s="761"/>
    </row>
    <row r="9" spans="1:12" ht="142.5" customHeight="1">
      <c r="B9" s="763" t="s">
        <v>661</v>
      </c>
      <c r="C9" s="763"/>
      <c r="D9" s="763"/>
      <c r="E9" s="763"/>
      <c r="F9" s="763"/>
      <c r="G9" s="763"/>
      <c r="H9" s="763"/>
    </row>
    <row r="10" spans="1:12" ht="169.5" customHeight="1">
      <c r="B10" s="764" t="s">
        <v>809</v>
      </c>
      <c r="C10" s="764"/>
      <c r="D10" s="764"/>
      <c r="E10" s="764"/>
      <c r="F10" s="764"/>
      <c r="G10" s="764"/>
      <c r="H10" s="764"/>
    </row>
    <row r="11" spans="1:12" ht="20.25">
      <c r="B11" s="761" t="s">
        <v>23</v>
      </c>
      <c r="C11" s="761"/>
      <c r="D11" s="761"/>
      <c r="E11" s="761"/>
      <c r="F11" s="761"/>
      <c r="G11" s="761"/>
      <c r="H11" s="761"/>
    </row>
    <row r="12" spans="1:12" ht="21">
      <c r="B12" s="762" t="s">
        <v>393</v>
      </c>
      <c r="C12" s="762"/>
      <c r="D12" s="762"/>
      <c r="E12" s="762"/>
      <c r="F12" s="762"/>
      <c r="G12" s="762"/>
      <c r="H12" s="762"/>
    </row>
    <row r="13" spans="1:12">
      <c r="B13" s="247"/>
      <c r="C13" s="248"/>
      <c r="D13" s="249"/>
      <c r="E13" s="249"/>
      <c r="F13" s="250">
        <v>1402</v>
      </c>
      <c r="G13" s="251"/>
      <c r="H13" s="250">
        <v>1401</v>
      </c>
    </row>
    <row r="14" spans="1:12">
      <c r="B14" s="247"/>
      <c r="C14" s="248"/>
      <c r="D14" s="249"/>
      <c r="E14" s="249"/>
      <c r="F14" s="252" t="s">
        <v>20</v>
      </c>
      <c r="G14" s="253"/>
      <c r="H14" s="252" t="s">
        <v>20</v>
      </c>
    </row>
    <row r="15" spans="1:12" ht="21">
      <c r="B15" s="254" t="s">
        <v>260</v>
      </c>
      <c r="C15" s="255"/>
      <c r="D15" s="256"/>
      <c r="E15" s="256"/>
      <c r="F15" s="257">
        <f>F42+F56+F72+F95</f>
        <v>88</v>
      </c>
      <c r="G15" s="257">
        <f>G42+G56+G72+G95</f>
        <v>0</v>
      </c>
      <c r="H15" s="257">
        <f>H42+H56+H72+H95</f>
        <v>81</v>
      </c>
    </row>
    <row r="16" spans="1:12" ht="21">
      <c r="B16" s="254" t="s">
        <v>263</v>
      </c>
      <c r="C16" s="255"/>
      <c r="D16" s="256"/>
      <c r="E16" s="256"/>
      <c r="F16" s="257">
        <f>F30+F43+F57+F73+F84+F96</f>
        <v>1871</v>
      </c>
      <c r="G16" s="257">
        <f>G30+G43+G57+G73+G84+G96</f>
        <v>0</v>
      </c>
      <c r="H16" s="257">
        <f>H30+H43+H57+H73+H84+H96</f>
        <v>1885</v>
      </c>
    </row>
    <row r="17" spans="2:11" ht="21">
      <c r="B17" s="254" t="s">
        <v>261</v>
      </c>
      <c r="C17" s="255"/>
      <c r="D17" s="256"/>
      <c r="E17" s="256"/>
      <c r="F17" s="257">
        <f>F31+F44+F58+F74</f>
        <v>70</v>
      </c>
      <c r="G17" s="257">
        <f>G31+G44+G58+G74</f>
        <v>0</v>
      </c>
      <c r="H17" s="257">
        <f>H31+H44+H58+H74</f>
        <v>69</v>
      </c>
    </row>
    <row r="18" spans="2:11" ht="21">
      <c r="B18" s="254" t="s">
        <v>264</v>
      </c>
      <c r="C18" s="255"/>
      <c r="D18" s="256"/>
      <c r="E18" s="256"/>
      <c r="F18" s="257">
        <f>F32+F45+F59+F75+F85+F97</f>
        <v>384</v>
      </c>
      <c r="G18" s="257">
        <f>G32+G45+G59+G75+G85+G97</f>
        <v>0</v>
      </c>
      <c r="H18" s="257">
        <f>H32+H45+H59+H75+H85+H97</f>
        <v>389</v>
      </c>
    </row>
    <row r="19" spans="2:11" ht="21">
      <c r="B19" s="254" t="s">
        <v>262</v>
      </c>
      <c r="C19" s="255"/>
      <c r="D19" s="256"/>
      <c r="E19" s="256"/>
      <c r="F19" s="257">
        <f>F46+F60+F76</f>
        <v>92</v>
      </c>
      <c r="G19" s="257">
        <f>G46+G60+G76</f>
        <v>0</v>
      </c>
      <c r="H19" s="257">
        <f>H46+H60+H76</f>
        <v>90</v>
      </c>
    </row>
    <row r="20" spans="2:11" ht="21">
      <c r="B20" s="254" t="s">
        <v>265</v>
      </c>
      <c r="C20" s="255"/>
      <c r="D20" s="256"/>
      <c r="E20" s="256"/>
      <c r="F20" s="257">
        <f>F33+F47+F61+F77+F86</f>
        <v>487</v>
      </c>
      <c r="G20" s="257">
        <f>G33+G47+G61+G77+G86</f>
        <v>0</v>
      </c>
      <c r="H20" s="257">
        <f>H33+H47+H61+H77+H86</f>
        <v>452</v>
      </c>
    </row>
    <row r="21" spans="2:11" ht="21">
      <c r="B21" s="254" t="s">
        <v>266</v>
      </c>
      <c r="C21" s="255"/>
      <c r="D21" s="256"/>
      <c r="E21" s="256"/>
      <c r="F21" s="257">
        <f>F34+F48+F62+F87+F98</f>
        <v>197</v>
      </c>
      <c r="G21" s="257">
        <f>G34+G48+G62+G87+G98</f>
        <v>0</v>
      </c>
      <c r="H21" s="257">
        <f>H34+H48+H62+H87+H98</f>
        <v>222</v>
      </c>
    </row>
    <row r="22" spans="2:11" ht="21">
      <c r="B22" s="254" t="s">
        <v>267</v>
      </c>
      <c r="C22" s="255"/>
      <c r="D22" s="256"/>
      <c r="E22" s="256"/>
      <c r="F22" s="257">
        <f t="shared" ref="F22:H23" si="0">F35+F49+F63+F78+F88+F99</f>
        <v>378</v>
      </c>
      <c r="G22" s="257">
        <f t="shared" si="0"/>
        <v>0</v>
      </c>
      <c r="H22" s="257">
        <f t="shared" si="0"/>
        <v>414</v>
      </c>
    </row>
    <row r="23" spans="2:11" ht="21">
      <c r="B23" s="254" t="s">
        <v>307</v>
      </c>
      <c r="C23" s="255"/>
      <c r="D23" s="256"/>
      <c r="E23" s="256"/>
      <c r="F23" s="257">
        <f t="shared" si="0"/>
        <v>579</v>
      </c>
      <c r="G23" s="257">
        <f t="shared" si="0"/>
        <v>0</v>
      </c>
      <c r="H23" s="257">
        <f t="shared" si="0"/>
        <v>635</v>
      </c>
    </row>
    <row r="24" spans="2:11" ht="21" thickBot="1">
      <c r="B24" s="255"/>
      <c r="C24" s="255"/>
      <c r="D24" s="256"/>
      <c r="E24" s="256"/>
      <c r="F24" s="259">
        <f>SUM(F15:F23)</f>
        <v>4146</v>
      </c>
      <c r="G24" s="258">
        <f>SUM(G15:G23)</f>
        <v>0</v>
      </c>
      <c r="H24" s="259">
        <f>SUM(H15:H23)</f>
        <v>4237</v>
      </c>
    </row>
    <row r="25" spans="2:11" ht="11.25" customHeight="1" thickTop="1">
      <c r="B25" s="255"/>
      <c r="C25" s="255"/>
      <c r="D25" s="256"/>
      <c r="E25" s="256"/>
      <c r="F25" s="257"/>
      <c r="G25" s="258"/>
      <c r="H25" s="257"/>
    </row>
    <row r="26" spans="2:11" ht="31.5" customHeight="1">
      <c r="B26" s="762" t="s">
        <v>1153</v>
      </c>
      <c r="C26" s="762"/>
      <c r="D26" s="762"/>
      <c r="E26" s="762"/>
      <c r="F26" s="762"/>
      <c r="G26" s="762"/>
      <c r="H26" s="762"/>
    </row>
    <row r="27" spans="2:11" s="22" customFormat="1" ht="19.5" customHeight="1">
      <c r="B27" s="762" t="s">
        <v>1147</v>
      </c>
      <c r="C27" s="762"/>
      <c r="D27" s="762"/>
      <c r="E27" s="762"/>
      <c r="F27" s="762"/>
      <c r="G27" s="762"/>
      <c r="H27" s="762"/>
    </row>
    <row r="28" spans="2:11" s="61" customFormat="1" ht="18" customHeight="1">
      <c r="B28" s="247"/>
      <c r="C28" s="248"/>
      <c r="D28" s="249"/>
      <c r="E28" s="249"/>
      <c r="F28" s="250">
        <v>1402</v>
      </c>
      <c r="G28" s="251"/>
      <c r="H28" s="250">
        <v>1401</v>
      </c>
    </row>
    <row r="29" spans="2:11" s="61" customFormat="1" ht="18" customHeight="1">
      <c r="B29" s="247"/>
      <c r="C29" s="248"/>
      <c r="D29" s="249"/>
      <c r="E29" s="249"/>
      <c r="F29" s="252" t="s">
        <v>20</v>
      </c>
      <c r="G29" s="253"/>
      <c r="H29" s="252" t="s">
        <v>20</v>
      </c>
    </row>
    <row r="30" spans="2:11" s="62" customFormat="1" ht="18" customHeight="1">
      <c r="B30" s="254" t="s">
        <v>263</v>
      </c>
      <c r="C30" s="255"/>
      <c r="D30" s="256"/>
      <c r="E30" s="256"/>
      <c r="F30" s="257">
        <v>623</v>
      </c>
      <c r="G30" s="258"/>
      <c r="H30" s="257">
        <v>629</v>
      </c>
      <c r="K30" s="62">
        <f>F24-F37-F52-F66-F80-F90-F101</f>
        <v>0</v>
      </c>
    </row>
    <row r="31" spans="2:11" s="62" customFormat="1" ht="18" customHeight="1">
      <c r="B31" s="254" t="s">
        <v>261</v>
      </c>
      <c r="C31" s="255"/>
      <c r="D31" s="256"/>
      <c r="E31" s="256"/>
      <c r="F31" s="257">
        <v>1</v>
      </c>
      <c r="G31" s="258"/>
      <c r="H31" s="257">
        <v>1</v>
      </c>
    </row>
    <row r="32" spans="2:11" s="62" customFormat="1" ht="18" customHeight="1">
      <c r="B32" s="254" t="s">
        <v>264</v>
      </c>
      <c r="C32" s="255"/>
      <c r="D32" s="256"/>
      <c r="E32" s="256"/>
      <c r="F32" s="257">
        <v>139</v>
      </c>
      <c r="G32" s="258"/>
      <c r="H32" s="257">
        <v>127</v>
      </c>
    </row>
    <row r="33" spans="2:8" s="62" customFormat="1" ht="18" customHeight="1">
      <c r="B33" s="254" t="s">
        <v>265</v>
      </c>
      <c r="C33" s="255"/>
      <c r="D33" s="256"/>
      <c r="E33" s="256"/>
      <c r="F33" s="257">
        <v>132</v>
      </c>
      <c r="G33" s="258"/>
      <c r="H33" s="257">
        <v>125</v>
      </c>
    </row>
    <row r="34" spans="2:8" s="62" customFormat="1" ht="18" customHeight="1">
      <c r="B34" s="254" t="s">
        <v>266</v>
      </c>
      <c r="C34" s="255"/>
      <c r="D34" s="256"/>
      <c r="E34" s="256"/>
      <c r="F34" s="257">
        <v>40</v>
      </c>
      <c r="G34" s="258"/>
      <c r="H34" s="257">
        <v>44</v>
      </c>
    </row>
    <row r="35" spans="2:8" s="62" customFormat="1" ht="18" customHeight="1">
      <c r="B35" s="254" t="s">
        <v>267</v>
      </c>
      <c r="C35" s="255"/>
      <c r="D35" s="256"/>
      <c r="E35" s="256"/>
      <c r="F35" s="257">
        <v>104</v>
      </c>
      <c r="G35" s="258"/>
      <c r="H35" s="257">
        <v>114</v>
      </c>
    </row>
    <row r="36" spans="2:8" s="62" customFormat="1" ht="18" customHeight="1">
      <c r="B36" s="254" t="s">
        <v>307</v>
      </c>
      <c r="C36" s="255"/>
      <c r="D36" s="256"/>
      <c r="E36" s="256"/>
      <c r="F36" s="257">
        <v>111</v>
      </c>
      <c r="G36" s="258"/>
      <c r="H36" s="257">
        <v>112</v>
      </c>
    </row>
    <row r="37" spans="2:8" s="62" customFormat="1" ht="18" customHeight="1" thickBot="1">
      <c r="B37" s="255"/>
      <c r="C37" s="255"/>
      <c r="D37" s="256"/>
      <c r="E37" s="256"/>
      <c r="F37" s="259">
        <f>SUM(F30:F36)</f>
        <v>1150</v>
      </c>
      <c r="G37" s="258"/>
      <c r="H37" s="259">
        <f>SUM(H30:H36)</f>
        <v>1152</v>
      </c>
    </row>
    <row r="38" spans="2:8" s="62" customFormat="1" ht="3.75" customHeight="1" thickTop="1">
      <c r="B38" s="260"/>
      <c r="C38" s="260"/>
      <c r="F38" s="261"/>
      <c r="G38" s="258"/>
      <c r="H38" s="261"/>
    </row>
    <row r="39" spans="2:8" s="22" customFormat="1" ht="19.5" customHeight="1">
      <c r="B39" s="762" t="s">
        <v>1148</v>
      </c>
      <c r="C39" s="762"/>
      <c r="D39" s="762"/>
      <c r="E39" s="762"/>
      <c r="F39" s="762"/>
      <c r="G39" s="762"/>
      <c r="H39" s="762"/>
    </row>
    <row r="40" spans="2:8" s="61" customFormat="1" ht="18" customHeight="1">
      <c r="B40" s="247"/>
      <c r="C40" s="248"/>
      <c r="D40" s="249"/>
      <c r="E40" s="249"/>
      <c r="F40" s="250">
        <v>1402</v>
      </c>
      <c r="G40" s="251"/>
      <c r="H40" s="250">
        <v>1401</v>
      </c>
    </row>
    <row r="41" spans="2:8" s="61" customFormat="1" ht="18" customHeight="1">
      <c r="B41" s="247"/>
      <c r="C41" s="248"/>
      <c r="D41" s="249"/>
      <c r="E41" s="249"/>
      <c r="F41" s="252" t="s">
        <v>20</v>
      </c>
      <c r="G41" s="253"/>
      <c r="H41" s="252" t="s">
        <v>20</v>
      </c>
    </row>
    <row r="42" spans="2:8" s="62" customFormat="1" ht="18" customHeight="1">
      <c r="B42" s="254" t="s">
        <v>260</v>
      </c>
      <c r="C42" s="255"/>
      <c r="D42" s="256"/>
      <c r="E42" s="256"/>
      <c r="F42" s="257">
        <v>21</v>
      </c>
      <c r="G42" s="258"/>
      <c r="H42" s="257">
        <v>21</v>
      </c>
    </row>
    <row r="43" spans="2:8" s="62" customFormat="1" ht="18" customHeight="1">
      <c r="B43" s="254" t="s">
        <v>263</v>
      </c>
      <c r="C43" s="255"/>
      <c r="D43" s="256"/>
      <c r="E43" s="256"/>
      <c r="F43" s="257">
        <v>1008</v>
      </c>
      <c r="G43" s="258"/>
      <c r="H43" s="257">
        <v>1014</v>
      </c>
    </row>
    <row r="44" spans="2:8" s="62" customFormat="1" ht="18" customHeight="1">
      <c r="B44" s="254" t="s">
        <v>261</v>
      </c>
      <c r="C44" s="255"/>
      <c r="D44" s="256"/>
      <c r="E44" s="256"/>
      <c r="F44" s="257">
        <v>26</v>
      </c>
      <c r="G44" s="258"/>
      <c r="H44" s="257">
        <v>24</v>
      </c>
    </row>
    <row r="45" spans="2:8" s="62" customFormat="1" ht="18" customHeight="1">
      <c r="B45" s="254" t="s">
        <v>264</v>
      </c>
      <c r="C45" s="255"/>
      <c r="D45" s="256"/>
      <c r="E45" s="256"/>
      <c r="F45" s="257">
        <v>217</v>
      </c>
      <c r="G45" s="258"/>
      <c r="H45" s="257">
        <v>232</v>
      </c>
    </row>
    <row r="46" spans="2:8" s="62" customFormat="1" ht="18" customHeight="1">
      <c r="B46" s="254" t="s">
        <v>262</v>
      </c>
      <c r="C46" s="255"/>
      <c r="D46" s="256"/>
      <c r="E46" s="256"/>
      <c r="F46" s="257">
        <v>18</v>
      </c>
      <c r="G46" s="258"/>
      <c r="H46" s="257">
        <v>21</v>
      </c>
    </row>
    <row r="47" spans="2:8" s="62" customFormat="1" ht="18" customHeight="1">
      <c r="B47" s="254" t="s">
        <v>265</v>
      </c>
      <c r="C47" s="255"/>
      <c r="D47" s="256"/>
      <c r="E47" s="256"/>
      <c r="F47" s="257">
        <v>333</v>
      </c>
      <c r="G47" s="258"/>
      <c r="H47" s="257">
        <v>313</v>
      </c>
    </row>
    <row r="48" spans="2:8" s="62" customFormat="1" ht="18" customHeight="1">
      <c r="B48" s="254" t="s">
        <v>266</v>
      </c>
      <c r="C48" s="255"/>
      <c r="D48" s="256"/>
      <c r="E48" s="256"/>
      <c r="F48" s="257">
        <v>117</v>
      </c>
      <c r="G48" s="258"/>
      <c r="H48" s="257">
        <v>135</v>
      </c>
    </row>
    <row r="49" spans="2:8" s="62" customFormat="1" ht="18" customHeight="1">
      <c r="B49" s="254" t="s">
        <v>267</v>
      </c>
      <c r="C49" s="255"/>
      <c r="D49" s="256"/>
      <c r="E49" s="256"/>
      <c r="F49" s="257">
        <v>165</v>
      </c>
      <c r="G49" s="258"/>
      <c r="H49" s="257">
        <v>185</v>
      </c>
    </row>
    <row r="50" spans="2:8" s="62" customFormat="1" ht="18" customHeight="1">
      <c r="B50" s="254" t="s">
        <v>307</v>
      </c>
      <c r="C50" s="255"/>
      <c r="D50" s="256"/>
      <c r="E50" s="256"/>
      <c r="F50" s="257">
        <v>388</v>
      </c>
      <c r="G50" s="258"/>
      <c r="H50" s="257">
        <v>429</v>
      </c>
    </row>
    <row r="51" spans="2:8" s="62" customFormat="1" ht="18" customHeight="1">
      <c r="B51" s="254" t="s">
        <v>51</v>
      </c>
      <c r="C51" s="255"/>
      <c r="D51" s="256"/>
      <c r="E51" s="256"/>
      <c r="F51" s="257">
        <v>0</v>
      </c>
      <c r="G51" s="258"/>
      <c r="H51" s="257">
        <v>0</v>
      </c>
    </row>
    <row r="52" spans="2:8" s="62" customFormat="1" ht="18" customHeight="1" thickBot="1">
      <c r="B52" s="255"/>
      <c r="C52" s="255"/>
      <c r="D52" s="256"/>
      <c r="E52" s="256"/>
      <c r="F52" s="259">
        <f>SUM(F42:F51)</f>
        <v>2293</v>
      </c>
      <c r="G52" s="258"/>
      <c r="H52" s="259">
        <f>SUM(H42:H51)</f>
        <v>2374</v>
      </c>
    </row>
    <row r="53" spans="2:8" s="22" customFormat="1" ht="19.5" customHeight="1" thickTop="1">
      <c r="B53" s="762" t="s">
        <v>1149</v>
      </c>
      <c r="C53" s="762"/>
      <c r="D53" s="762"/>
      <c r="E53" s="762"/>
      <c r="F53" s="762"/>
      <c r="G53" s="762"/>
      <c r="H53" s="762"/>
    </row>
    <row r="54" spans="2:8" s="61" customFormat="1" ht="18" customHeight="1">
      <c r="B54" s="247"/>
      <c r="C54" s="248"/>
      <c r="D54" s="249"/>
      <c r="E54" s="249"/>
      <c r="F54" s="250">
        <v>1402</v>
      </c>
      <c r="G54" s="251"/>
      <c r="H54" s="250">
        <v>1401</v>
      </c>
    </row>
    <row r="55" spans="2:8" s="61" customFormat="1" ht="18" customHeight="1">
      <c r="B55" s="247"/>
      <c r="C55" s="248"/>
      <c r="D55" s="249"/>
      <c r="E55" s="249"/>
      <c r="F55" s="252" t="s">
        <v>20</v>
      </c>
      <c r="G55" s="253"/>
      <c r="H55" s="252" t="s">
        <v>20</v>
      </c>
    </row>
    <row r="56" spans="2:8" s="62" customFormat="1" ht="18" customHeight="1">
      <c r="B56" s="254" t="s">
        <v>260</v>
      </c>
      <c r="C56" s="255"/>
      <c r="D56" s="256"/>
      <c r="E56" s="256"/>
      <c r="F56" s="257">
        <v>60</v>
      </c>
      <c r="G56" s="258"/>
      <c r="H56" s="257">
        <v>54</v>
      </c>
    </row>
    <row r="57" spans="2:8" s="62" customFormat="1" ht="18" customHeight="1">
      <c r="B57" s="254" t="s">
        <v>263</v>
      </c>
      <c r="C57" s="255"/>
      <c r="D57" s="256"/>
      <c r="E57" s="256"/>
      <c r="F57" s="257">
        <v>128</v>
      </c>
      <c r="G57" s="258"/>
      <c r="H57" s="257">
        <v>130</v>
      </c>
    </row>
    <row r="58" spans="2:8" s="62" customFormat="1" ht="18" customHeight="1">
      <c r="B58" s="254" t="s">
        <v>261</v>
      </c>
      <c r="C58" s="255"/>
      <c r="D58" s="256"/>
      <c r="E58" s="256"/>
      <c r="F58" s="257">
        <v>42</v>
      </c>
      <c r="G58" s="258"/>
      <c r="H58" s="257">
        <v>40</v>
      </c>
    </row>
    <row r="59" spans="2:8" s="62" customFormat="1" ht="18" customHeight="1">
      <c r="B59" s="254" t="s">
        <v>264</v>
      </c>
      <c r="C59" s="255"/>
      <c r="D59" s="256"/>
      <c r="E59" s="256"/>
      <c r="F59" s="257">
        <v>12</v>
      </c>
      <c r="G59" s="258"/>
      <c r="H59" s="257">
        <v>13</v>
      </c>
    </row>
    <row r="60" spans="2:8" s="62" customFormat="1" ht="18" customHeight="1">
      <c r="B60" s="254" t="s">
        <v>262</v>
      </c>
      <c r="C60" s="255"/>
      <c r="D60" s="256"/>
      <c r="E60" s="256"/>
      <c r="F60" s="257">
        <v>73</v>
      </c>
      <c r="G60" s="258"/>
      <c r="H60" s="257">
        <v>68</v>
      </c>
    </row>
    <row r="61" spans="2:8" s="62" customFormat="1" ht="18" customHeight="1">
      <c r="B61" s="254" t="s">
        <v>265</v>
      </c>
      <c r="C61" s="255"/>
      <c r="D61" s="256"/>
      <c r="E61" s="256"/>
      <c r="F61" s="257">
        <v>10</v>
      </c>
      <c r="G61" s="258"/>
      <c r="H61" s="257">
        <v>9</v>
      </c>
    </row>
    <row r="62" spans="2:8" s="62" customFormat="1" ht="18" customHeight="1">
      <c r="B62" s="254" t="s">
        <v>266</v>
      </c>
      <c r="C62" s="255"/>
      <c r="D62" s="256"/>
      <c r="E62" s="256"/>
      <c r="F62" s="257">
        <v>35</v>
      </c>
      <c r="G62" s="258"/>
      <c r="H62" s="257">
        <v>39</v>
      </c>
    </row>
    <row r="63" spans="2:8" s="62" customFormat="1" ht="18" customHeight="1">
      <c r="B63" s="254" t="s">
        <v>267</v>
      </c>
      <c r="C63" s="255"/>
      <c r="D63" s="256"/>
      <c r="E63" s="256"/>
      <c r="F63" s="257">
        <v>75</v>
      </c>
      <c r="G63" s="258"/>
      <c r="H63" s="257">
        <v>81</v>
      </c>
    </row>
    <row r="64" spans="2:8" s="62" customFormat="1" ht="18" customHeight="1">
      <c r="B64" s="254" t="s">
        <v>307</v>
      </c>
      <c r="C64" s="255"/>
      <c r="D64" s="256"/>
      <c r="E64" s="256"/>
      <c r="F64" s="257">
        <v>55</v>
      </c>
      <c r="G64" s="258"/>
      <c r="H64" s="257">
        <v>66</v>
      </c>
    </row>
    <row r="65" spans="2:8" s="62" customFormat="1" ht="18" customHeight="1">
      <c r="B65" s="254" t="s">
        <v>51</v>
      </c>
      <c r="C65" s="255"/>
      <c r="D65" s="256"/>
      <c r="E65" s="256"/>
      <c r="F65" s="257">
        <v>0</v>
      </c>
      <c r="G65" s="258"/>
      <c r="H65" s="257">
        <v>0</v>
      </c>
    </row>
    <row r="66" spans="2:8" s="62" customFormat="1" ht="18" customHeight="1" thickBot="1">
      <c r="B66" s="255"/>
      <c r="C66" s="255"/>
      <c r="D66" s="256"/>
      <c r="E66" s="256"/>
      <c r="F66" s="259">
        <f>SUM(F56:F65)</f>
        <v>490</v>
      </c>
      <c r="G66" s="258"/>
      <c r="H66" s="259">
        <f>SUM(H56:H65)</f>
        <v>500</v>
      </c>
    </row>
    <row r="67" spans="2:8" s="62" customFormat="1" ht="3.75" customHeight="1" thickTop="1">
      <c r="B67" s="260"/>
      <c r="C67" s="260"/>
      <c r="F67" s="261"/>
      <c r="G67" s="258"/>
      <c r="H67" s="261"/>
    </row>
    <row r="68" spans="2:8" s="62" customFormat="1" ht="9.75" customHeight="1">
      <c r="B68" s="260"/>
      <c r="C68" s="260"/>
      <c r="F68" s="261"/>
      <c r="G68" s="258"/>
      <c r="H68" s="261"/>
    </row>
    <row r="69" spans="2:8" s="22" customFormat="1" ht="19.5" customHeight="1">
      <c r="B69" s="762" t="s">
        <v>1150</v>
      </c>
      <c r="C69" s="762"/>
      <c r="D69" s="762"/>
      <c r="E69" s="762"/>
      <c r="F69" s="762"/>
      <c r="G69" s="762"/>
      <c r="H69" s="762"/>
    </row>
    <row r="70" spans="2:8" s="61" customFormat="1" ht="18" customHeight="1">
      <c r="B70" s="247"/>
      <c r="C70" s="248"/>
      <c r="D70" s="249"/>
      <c r="E70" s="249"/>
      <c r="F70" s="250">
        <v>1402</v>
      </c>
      <c r="G70" s="251"/>
      <c r="H70" s="250">
        <v>1401</v>
      </c>
    </row>
    <row r="71" spans="2:8" s="61" customFormat="1" ht="18" customHeight="1">
      <c r="B71" s="247"/>
      <c r="C71" s="248"/>
      <c r="D71" s="249"/>
      <c r="E71" s="249"/>
      <c r="F71" s="252" t="s">
        <v>20</v>
      </c>
      <c r="G71" s="253"/>
      <c r="H71" s="252" t="s">
        <v>20</v>
      </c>
    </row>
    <row r="72" spans="2:8" s="62" customFormat="1" ht="18" customHeight="1">
      <c r="B72" s="254" t="s">
        <v>260</v>
      </c>
      <c r="C72" s="255"/>
      <c r="D72" s="256"/>
      <c r="E72" s="256"/>
      <c r="F72" s="257">
        <v>5</v>
      </c>
      <c r="G72" s="258"/>
      <c r="H72" s="257">
        <v>3</v>
      </c>
    </row>
    <row r="73" spans="2:8" s="62" customFormat="1" ht="18" customHeight="1">
      <c r="B73" s="254" t="s">
        <v>263</v>
      </c>
      <c r="C73" s="255"/>
      <c r="D73" s="256"/>
      <c r="E73" s="256"/>
      <c r="F73" s="257">
        <v>3</v>
      </c>
      <c r="G73" s="258"/>
      <c r="H73" s="257">
        <v>3</v>
      </c>
    </row>
    <row r="74" spans="2:8" s="62" customFormat="1" ht="18" customHeight="1">
      <c r="B74" s="254" t="s">
        <v>261</v>
      </c>
      <c r="C74" s="255"/>
      <c r="D74" s="256"/>
      <c r="E74" s="256"/>
      <c r="F74" s="257">
        <v>1</v>
      </c>
      <c r="G74" s="258"/>
      <c r="H74" s="257">
        <v>4</v>
      </c>
    </row>
    <row r="75" spans="2:8" s="62" customFormat="1" ht="18" customHeight="1">
      <c r="B75" s="254" t="s">
        <v>264</v>
      </c>
      <c r="C75" s="255"/>
      <c r="D75" s="256"/>
      <c r="E75" s="256"/>
      <c r="F75" s="257">
        <v>1</v>
      </c>
      <c r="G75" s="258"/>
      <c r="H75" s="257">
        <v>1</v>
      </c>
    </row>
    <row r="76" spans="2:8" s="62" customFormat="1" ht="18" customHeight="1">
      <c r="B76" s="254" t="s">
        <v>262</v>
      </c>
      <c r="C76" s="255"/>
      <c r="D76" s="256"/>
      <c r="E76" s="256"/>
      <c r="F76" s="257">
        <v>1</v>
      </c>
      <c r="G76" s="258"/>
      <c r="H76" s="257">
        <v>1</v>
      </c>
    </row>
    <row r="77" spans="2:8" s="62" customFormat="1" ht="18" customHeight="1">
      <c r="B77" s="254" t="s">
        <v>265</v>
      </c>
      <c r="C77" s="255"/>
      <c r="D77" s="256"/>
      <c r="E77" s="256"/>
      <c r="F77" s="257">
        <v>1</v>
      </c>
      <c r="G77" s="258"/>
      <c r="H77" s="257">
        <v>0</v>
      </c>
    </row>
    <row r="78" spans="2:8" s="62" customFormat="1" ht="18" customHeight="1">
      <c r="B78" s="254" t="s">
        <v>267</v>
      </c>
      <c r="C78" s="255"/>
      <c r="D78" s="256"/>
      <c r="E78" s="256"/>
      <c r="F78" s="257">
        <v>1</v>
      </c>
      <c r="G78" s="258"/>
      <c r="H78" s="257">
        <v>1</v>
      </c>
    </row>
    <row r="79" spans="2:8" s="62" customFormat="1" ht="18" customHeight="1">
      <c r="B79" s="254" t="s">
        <v>307</v>
      </c>
      <c r="C79" s="255"/>
      <c r="D79" s="256"/>
      <c r="E79" s="256"/>
      <c r="F79" s="257">
        <v>0</v>
      </c>
      <c r="G79" s="258"/>
      <c r="H79" s="257">
        <v>1</v>
      </c>
    </row>
    <row r="80" spans="2:8" s="62" customFormat="1" ht="18" customHeight="1" thickBot="1">
      <c r="B80" s="255"/>
      <c r="C80" s="255"/>
      <c r="D80" s="256"/>
      <c r="E80" s="256"/>
      <c r="F80" s="259">
        <f>SUM(F72:F79)</f>
        <v>13</v>
      </c>
      <c r="G80" s="258"/>
      <c r="H80" s="259">
        <f>SUM(H72:H79)</f>
        <v>14</v>
      </c>
    </row>
    <row r="81" spans="2:8" s="22" customFormat="1" ht="19.5" customHeight="1" thickTop="1">
      <c r="B81" s="762" t="s">
        <v>1151</v>
      </c>
      <c r="C81" s="762"/>
      <c r="D81" s="762"/>
      <c r="E81" s="762"/>
      <c r="F81" s="762"/>
      <c r="G81" s="762"/>
      <c r="H81" s="762"/>
    </row>
    <row r="82" spans="2:8" s="61" customFormat="1" ht="18" customHeight="1">
      <c r="B82" s="247"/>
      <c r="C82" s="248"/>
      <c r="D82" s="249"/>
      <c r="E82" s="249"/>
      <c r="F82" s="250">
        <v>1402</v>
      </c>
      <c r="G82" s="251"/>
      <c r="H82" s="250">
        <v>1401</v>
      </c>
    </row>
    <row r="83" spans="2:8" s="61" customFormat="1" ht="18" customHeight="1">
      <c r="B83" s="247"/>
      <c r="C83" s="248"/>
      <c r="D83" s="249"/>
      <c r="E83" s="249"/>
      <c r="F83" s="252" t="s">
        <v>20</v>
      </c>
      <c r="G83" s="253"/>
      <c r="H83" s="252" t="s">
        <v>20</v>
      </c>
    </row>
    <row r="84" spans="2:8" s="62" customFormat="1" ht="18" customHeight="1">
      <c r="B84" s="254" t="s">
        <v>263</v>
      </c>
      <c r="C84" s="255"/>
      <c r="D84" s="256"/>
      <c r="E84" s="256"/>
      <c r="F84" s="257">
        <v>18</v>
      </c>
      <c r="G84" s="258"/>
      <c r="H84" s="257">
        <v>20</v>
      </c>
    </row>
    <row r="85" spans="2:8" s="62" customFormat="1" ht="18" customHeight="1">
      <c r="B85" s="254" t="s">
        <v>264</v>
      </c>
      <c r="C85" s="255"/>
      <c r="D85" s="256"/>
      <c r="E85" s="256"/>
      <c r="F85" s="257">
        <v>5</v>
      </c>
      <c r="G85" s="258"/>
      <c r="H85" s="257">
        <v>4</v>
      </c>
    </row>
    <row r="86" spans="2:8" s="62" customFormat="1" ht="18" customHeight="1">
      <c r="B86" s="254" t="s">
        <v>265</v>
      </c>
      <c r="C86" s="255"/>
      <c r="D86" s="256"/>
      <c r="E86" s="256"/>
      <c r="F86" s="257">
        <v>11</v>
      </c>
      <c r="G86" s="258"/>
      <c r="H86" s="257">
        <v>5</v>
      </c>
    </row>
    <row r="87" spans="2:8" s="62" customFormat="1" ht="18" customHeight="1">
      <c r="B87" s="254" t="s">
        <v>266</v>
      </c>
      <c r="C87" s="255"/>
      <c r="D87" s="256"/>
      <c r="E87" s="256"/>
      <c r="F87" s="257">
        <v>2</v>
      </c>
      <c r="G87" s="258"/>
      <c r="H87" s="257">
        <v>2</v>
      </c>
    </row>
    <row r="88" spans="2:8" s="62" customFormat="1" ht="18" customHeight="1">
      <c r="B88" s="254" t="s">
        <v>267</v>
      </c>
      <c r="C88" s="255"/>
      <c r="D88" s="256"/>
      <c r="E88" s="256"/>
      <c r="F88" s="257">
        <v>8</v>
      </c>
      <c r="G88" s="258"/>
      <c r="H88" s="257">
        <v>9</v>
      </c>
    </row>
    <row r="89" spans="2:8" s="62" customFormat="1" ht="18" customHeight="1">
      <c r="B89" s="254" t="s">
        <v>307</v>
      </c>
      <c r="C89" s="255"/>
      <c r="D89" s="256"/>
      <c r="E89" s="256"/>
      <c r="F89" s="257">
        <v>3</v>
      </c>
      <c r="G89" s="258"/>
      <c r="H89" s="257">
        <v>3</v>
      </c>
    </row>
    <row r="90" spans="2:8" s="62" customFormat="1" ht="18" customHeight="1" thickBot="1">
      <c r="B90" s="255"/>
      <c r="C90" s="255"/>
      <c r="D90" s="256"/>
      <c r="E90" s="256"/>
      <c r="F90" s="259">
        <f>SUM(F84:F89)</f>
        <v>47</v>
      </c>
      <c r="G90" s="258"/>
      <c r="H90" s="259">
        <f>SUM(H84:H89)</f>
        <v>43</v>
      </c>
    </row>
    <row r="91" spans="2:8" s="62" customFormat="1" ht="3.75" customHeight="1" thickTop="1">
      <c r="B91" s="260"/>
      <c r="C91" s="260"/>
      <c r="F91" s="261"/>
      <c r="G91" s="258"/>
      <c r="H91" s="261"/>
    </row>
    <row r="92" spans="2:8" s="22" customFormat="1" ht="19.5" customHeight="1">
      <c r="B92" s="762" t="s">
        <v>1152</v>
      </c>
      <c r="C92" s="762"/>
      <c r="D92" s="762"/>
      <c r="E92" s="762"/>
      <c r="F92" s="762"/>
      <c r="G92" s="762"/>
      <c r="H92" s="762"/>
    </row>
    <row r="93" spans="2:8" s="61" customFormat="1" ht="18" customHeight="1">
      <c r="B93" s="247"/>
      <c r="C93" s="248"/>
      <c r="D93" s="249"/>
      <c r="E93" s="249"/>
      <c r="F93" s="250">
        <v>1402</v>
      </c>
      <c r="G93" s="251"/>
      <c r="H93" s="250">
        <v>1401</v>
      </c>
    </row>
    <row r="94" spans="2:8" s="61" customFormat="1" ht="18" customHeight="1">
      <c r="B94" s="247"/>
      <c r="C94" s="248"/>
      <c r="D94" s="249"/>
      <c r="E94" s="249"/>
      <c r="F94" s="252" t="s">
        <v>20</v>
      </c>
      <c r="G94" s="253"/>
      <c r="H94" s="252" t="s">
        <v>20</v>
      </c>
    </row>
    <row r="95" spans="2:8" s="61" customFormat="1" ht="18" customHeight="1">
      <c r="B95" s="254" t="s">
        <v>656</v>
      </c>
      <c r="C95" s="248"/>
      <c r="D95" s="249"/>
      <c r="E95" s="249"/>
      <c r="F95" s="252">
        <v>2</v>
      </c>
      <c r="G95" s="253"/>
      <c r="H95" s="252">
        <v>3</v>
      </c>
    </row>
    <row r="96" spans="2:8" s="62" customFormat="1" ht="18" customHeight="1">
      <c r="B96" s="254" t="s">
        <v>263</v>
      </c>
      <c r="C96" s="255"/>
      <c r="D96" s="256"/>
      <c r="E96" s="256"/>
      <c r="F96" s="257">
        <v>91</v>
      </c>
      <c r="G96" s="258"/>
      <c r="H96" s="257">
        <v>89</v>
      </c>
    </row>
    <row r="97" spans="2:8" s="62" customFormat="1" ht="18" customHeight="1">
      <c r="B97" s="254" t="s">
        <v>264</v>
      </c>
      <c r="C97" s="255"/>
      <c r="D97" s="256"/>
      <c r="E97" s="256"/>
      <c r="F97" s="257">
        <v>10</v>
      </c>
      <c r="G97" s="258"/>
      <c r="H97" s="257">
        <v>12</v>
      </c>
    </row>
    <row r="98" spans="2:8" s="62" customFormat="1" ht="18" customHeight="1">
      <c r="B98" s="254" t="s">
        <v>266</v>
      </c>
      <c r="C98" s="255"/>
      <c r="D98" s="256"/>
      <c r="E98" s="256"/>
      <c r="F98" s="257">
        <v>3</v>
      </c>
      <c r="G98" s="258"/>
      <c r="H98" s="257">
        <v>2</v>
      </c>
    </row>
    <row r="99" spans="2:8" s="62" customFormat="1" ht="18" customHeight="1">
      <c r="B99" s="254" t="s">
        <v>267</v>
      </c>
      <c r="C99" s="255"/>
      <c r="D99" s="256"/>
      <c r="E99" s="256"/>
      <c r="F99" s="257">
        <v>25</v>
      </c>
      <c r="G99" s="258"/>
      <c r="H99" s="257">
        <v>24</v>
      </c>
    </row>
    <row r="100" spans="2:8" s="62" customFormat="1" ht="18" customHeight="1">
      <c r="B100" s="254" t="s">
        <v>307</v>
      </c>
      <c r="C100" s="255"/>
      <c r="D100" s="256"/>
      <c r="E100" s="256"/>
      <c r="F100" s="257">
        <v>22</v>
      </c>
      <c r="G100" s="258"/>
      <c r="H100" s="257">
        <v>24</v>
      </c>
    </row>
    <row r="101" spans="2:8" s="62" customFormat="1" ht="18" customHeight="1" thickBot="1">
      <c r="B101" s="255"/>
      <c r="C101" s="255"/>
      <c r="D101" s="256"/>
      <c r="E101" s="256"/>
      <c r="F101" s="259">
        <f>SUM(F95:F100)</f>
        <v>153</v>
      </c>
      <c r="G101" s="258"/>
      <c r="H101" s="259">
        <f>SUM(H95:H100)</f>
        <v>154</v>
      </c>
    </row>
    <row r="102" spans="2:8" ht="18.75" customHeight="1" thickTop="1">
      <c r="B102" s="761" t="s">
        <v>359</v>
      </c>
      <c r="C102" s="761"/>
      <c r="D102" s="761"/>
      <c r="E102" s="761"/>
      <c r="F102" s="761"/>
      <c r="G102" s="761"/>
      <c r="H102" s="761"/>
    </row>
    <row r="103" spans="2:8" s="22" customFormat="1" ht="6" customHeight="1">
      <c r="B103" s="762"/>
      <c r="C103" s="762"/>
      <c r="D103" s="762"/>
      <c r="E103" s="762"/>
      <c r="F103" s="762"/>
      <c r="G103" s="762"/>
      <c r="H103" s="762"/>
    </row>
    <row r="104" spans="2:8" s="61" customFormat="1" ht="18" customHeight="1">
      <c r="B104" s="247"/>
      <c r="C104" s="248"/>
      <c r="D104" s="249"/>
      <c r="E104" s="249"/>
      <c r="F104" s="250">
        <v>1402</v>
      </c>
      <c r="G104" s="251"/>
      <c r="H104" s="250">
        <v>1401</v>
      </c>
    </row>
    <row r="105" spans="2:8" s="61" customFormat="1">
      <c r="B105" s="247"/>
      <c r="C105" s="248"/>
      <c r="D105" s="249"/>
      <c r="E105" s="249"/>
      <c r="F105" s="262" t="s">
        <v>293</v>
      </c>
      <c r="G105" s="251"/>
      <c r="H105" s="262" t="s">
        <v>293</v>
      </c>
    </row>
    <row r="106" spans="2:8" s="62" customFormat="1" ht="18" customHeight="1">
      <c r="B106" s="254" t="s">
        <v>352</v>
      </c>
      <c r="C106" s="255"/>
      <c r="D106" s="256"/>
      <c r="E106" s="256"/>
      <c r="F106" s="257">
        <v>6</v>
      </c>
      <c r="G106" s="258"/>
      <c r="H106" s="257">
        <v>6</v>
      </c>
    </row>
    <row r="107" spans="2:8" s="62" customFormat="1" ht="18" customHeight="1">
      <c r="B107" s="254" t="s">
        <v>353</v>
      </c>
      <c r="C107" s="255"/>
      <c r="D107" s="256"/>
      <c r="E107" s="256"/>
      <c r="F107" s="257">
        <v>8</v>
      </c>
      <c r="G107" s="258"/>
      <c r="H107" s="257">
        <v>8</v>
      </c>
    </row>
    <row r="108" spans="2:8" s="62" customFormat="1" ht="18" customHeight="1">
      <c r="B108" s="254" t="s">
        <v>354</v>
      </c>
      <c r="C108" s="255"/>
      <c r="D108" s="256"/>
      <c r="E108" s="256"/>
      <c r="F108" s="257">
        <v>10</v>
      </c>
      <c r="G108" s="258"/>
      <c r="H108" s="257">
        <v>10</v>
      </c>
    </row>
    <row r="109" spans="2:8" s="62" customFormat="1" ht="18" customHeight="1">
      <c r="B109" s="254" t="s">
        <v>355</v>
      </c>
      <c r="C109" s="255"/>
      <c r="D109" s="256"/>
      <c r="E109" s="256"/>
      <c r="F109" s="257">
        <v>1</v>
      </c>
      <c r="G109" s="258"/>
      <c r="H109" s="257">
        <v>1</v>
      </c>
    </row>
    <row r="110" spans="2:8" s="62" customFormat="1" ht="18" customHeight="1">
      <c r="B110" s="254" t="s">
        <v>356</v>
      </c>
      <c r="C110" s="255"/>
      <c r="D110" s="256"/>
      <c r="E110" s="256"/>
      <c r="F110" s="257">
        <v>1</v>
      </c>
      <c r="G110" s="258"/>
      <c r="H110" s="257">
        <v>1</v>
      </c>
    </row>
    <row r="111" spans="2:8" s="62" customFormat="1" ht="18" customHeight="1">
      <c r="B111" s="254" t="s">
        <v>360</v>
      </c>
      <c r="C111" s="255"/>
      <c r="D111" s="256"/>
      <c r="E111" s="256"/>
      <c r="F111" s="257">
        <v>7</v>
      </c>
      <c r="G111" s="258"/>
      <c r="H111" s="257">
        <v>7</v>
      </c>
    </row>
    <row r="112" spans="2:8" s="62" customFormat="1" ht="18" customHeight="1">
      <c r="B112" s="254" t="s">
        <v>357</v>
      </c>
      <c r="C112" s="255"/>
      <c r="D112" s="256"/>
      <c r="E112" s="256"/>
      <c r="F112" s="257">
        <v>4</v>
      </c>
      <c r="G112" s="258"/>
      <c r="H112" s="257">
        <v>4</v>
      </c>
    </row>
    <row r="113" spans="2:8" s="62" customFormat="1" ht="18" customHeight="1">
      <c r="B113" s="254" t="s">
        <v>358</v>
      </c>
      <c r="C113" s="255"/>
      <c r="D113" s="256"/>
      <c r="E113" s="256"/>
      <c r="F113" s="257">
        <v>6</v>
      </c>
      <c r="G113" s="258"/>
      <c r="H113" s="257">
        <v>6</v>
      </c>
    </row>
    <row r="114" spans="2:8" s="62" customFormat="1" ht="18" customHeight="1" thickBot="1">
      <c r="B114" s="255"/>
      <c r="C114" s="255"/>
      <c r="D114" s="256"/>
      <c r="E114" s="256"/>
      <c r="F114" s="259">
        <f>SUM(F106:F113)</f>
        <v>43</v>
      </c>
      <c r="G114" s="258"/>
      <c r="H114" s="259">
        <f>SUM(H106:H113)</f>
        <v>43</v>
      </c>
    </row>
    <row r="115" spans="2:8" s="62" customFormat="1" ht="3" customHeight="1" thickTop="1">
      <c r="B115" s="255"/>
      <c r="C115" s="255"/>
      <c r="D115" s="256"/>
      <c r="E115" s="256"/>
      <c r="F115" s="263"/>
      <c r="G115" s="258"/>
      <c r="H115" s="263"/>
    </row>
    <row r="116" spans="2:8" ht="25.5" customHeight="1">
      <c r="B116" s="760" t="s">
        <v>402</v>
      </c>
      <c r="C116" s="760"/>
      <c r="D116" s="760"/>
      <c r="E116" s="760"/>
      <c r="F116" s="760"/>
      <c r="G116" s="760"/>
      <c r="H116" s="760"/>
    </row>
    <row r="117" spans="2:8" ht="26.25" customHeight="1">
      <c r="B117" s="768" t="s">
        <v>220</v>
      </c>
      <c r="C117" s="768"/>
      <c r="D117" s="768"/>
      <c r="E117" s="768"/>
      <c r="F117" s="768"/>
      <c r="G117" s="768"/>
      <c r="H117" s="768"/>
    </row>
    <row r="118" spans="2:8" ht="27.75" customHeight="1">
      <c r="B118" s="762" t="s">
        <v>188</v>
      </c>
      <c r="C118" s="762"/>
      <c r="D118" s="762"/>
      <c r="E118" s="762"/>
      <c r="F118" s="762"/>
      <c r="G118" s="762"/>
      <c r="H118" s="762"/>
    </row>
    <row r="119" spans="2:8" ht="27.75" customHeight="1">
      <c r="B119" s="762" t="s">
        <v>601</v>
      </c>
      <c r="C119" s="762"/>
      <c r="D119" s="762"/>
      <c r="E119" s="762"/>
      <c r="F119" s="762"/>
      <c r="G119" s="762"/>
      <c r="H119" s="762"/>
    </row>
    <row r="120" spans="2:8" ht="27.75" customHeight="1">
      <c r="B120" s="762" t="s">
        <v>600</v>
      </c>
      <c r="C120" s="762"/>
      <c r="D120" s="762"/>
      <c r="E120" s="762"/>
      <c r="F120" s="762"/>
      <c r="G120" s="762"/>
      <c r="H120" s="762"/>
    </row>
    <row r="121" spans="2:8" ht="36" customHeight="1">
      <c r="B121" s="771" t="s">
        <v>221</v>
      </c>
      <c r="C121" s="771"/>
      <c r="D121" s="771"/>
      <c r="E121" s="771"/>
      <c r="F121" s="771"/>
      <c r="G121" s="771"/>
      <c r="H121" s="771"/>
    </row>
    <row r="122" spans="2:8" ht="96" customHeight="1">
      <c r="B122" s="772" t="s">
        <v>640</v>
      </c>
      <c r="C122" s="772"/>
      <c r="D122" s="772"/>
      <c r="E122" s="772"/>
      <c r="F122" s="772"/>
      <c r="G122" s="772"/>
      <c r="H122" s="772"/>
    </row>
    <row r="123" spans="2:8" ht="44.25" customHeight="1">
      <c r="B123" s="771" t="s">
        <v>305</v>
      </c>
      <c r="C123" s="771"/>
      <c r="D123" s="771"/>
      <c r="E123" s="771"/>
      <c r="F123" s="771"/>
      <c r="G123" s="771"/>
      <c r="H123" s="771"/>
    </row>
    <row r="124" spans="2:8" ht="104.25" customHeight="1">
      <c r="B124" s="772" t="s">
        <v>364</v>
      </c>
      <c r="C124" s="772"/>
      <c r="D124" s="772"/>
      <c r="E124" s="772"/>
      <c r="F124" s="772"/>
      <c r="G124" s="772"/>
      <c r="H124" s="772"/>
    </row>
    <row r="125" spans="2:8" ht="36" customHeight="1">
      <c r="B125" s="264"/>
      <c r="C125" s="264"/>
      <c r="D125" s="264"/>
      <c r="E125" s="264"/>
      <c r="F125" s="773" t="s">
        <v>64</v>
      </c>
      <c r="G125" s="773"/>
      <c r="H125" s="773"/>
    </row>
    <row r="126" spans="2:8" ht="21" customHeight="1">
      <c r="B126" s="254" t="s">
        <v>27</v>
      </c>
      <c r="C126" s="264"/>
      <c r="D126" s="264"/>
      <c r="E126" s="264"/>
      <c r="F126" s="769" t="s">
        <v>295</v>
      </c>
      <c r="G126" s="769"/>
      <c r="H126" s="769"/>
    </row>
    <row r="127" spans="2:8" ht="21" customHeight="1">
      <c r="B127" s="254" t="s">
        <v>28</v>
      </c>
      <c r="C127" s="264"/>
      <c r="D127" s="264"/>
      <c r="E127" s="264"/>
      <c r="F127" s="770"/>
      <c r="G127" s="770"/>
      <c r="H127" s="770"/>
    </row>
    <row r="128" spans="2:8" ht="21" customHeight="1">
      <c r="B128" s="254" t="s">
        <v>29</v>
      </c>
      <c r="C128" s="264"/>
      <c r="D128" s="264"/>
      <c r="E128" s="264"/>
      <c r="F128" s="770"/>
      <c r="G128" s="770"/>
      <c r="H128" s="770"/>
    </row>
    <row r="129" spans="2:8" ht="21" customHeight="1">
      <c r="B129" s="254" t="s">
        <v>30</v>
      </c>
      <c r="C129" s="265"/>
      <c r="D129" s="265"/>
      <c r="E129" s="265"/>
      <c r="F129" s="770"/>
      <c r="G129" s="770"/>
      <c r="H129" s="770"/>
    </row>
  </sheetData>
  <mergeCells count="30">
    <mergeCell ref="B117:H117"/>
    <mergeCell ref="F126:H129"/>
    <mergeCell ref="B118:H118"/>
    <mergeCell ref="B119:H119"/>
    <mergeCell ref="B120:H120"/>
    <mergeCell ref="B123:H123"/>
    <mergeCell ref="B124:H124"/>
    <mergeCell ref="F125:H125"/>
    <mergeCell ref="B121:H121"/>
    <mergeCell ref="B122:H122"/>
    <mergeCell ref="A1:H1"/>
    <mergeCell ref="B2:H2"/>
    <mergeCell ref="B3:H3"/>
    <mergeCell ref="B6:H6"/>
    <mergeCell ref="B7:H7"/>
    <mergeCell ref="B116:H116"/>
    <mergeCell ref="B102:H102"/>
    <mergeCell ref="B103:H103"/>
    <mergeCell ref="B39:H39"/>
    <mergeCell ref="B8:H8"/>
    <mergeCell ref="B9:H9"/>
    <mergeCell ref="B11:H11"/>
    <mergeCell ref="B27:H27"/>
    <mergeCell ref="B81:H81"/>
    <mergeCell ref="B92:H92"/>
    <mergeCell ref="B53:H53"/>
    <mergeCell ref="B69:H69"/>
    <mergeCell ref="B12:H12"/>
    <mergeCell ref="B10:H10"/>
    <mergeCell ref="B26:H26"/>
  </mergeCells>
  <printOptions horizontalCentered="1"/>
  <pageMargins left="3.937007874015748E-2" right="3.937007874015748E-2" top="3.937007874015748E-2" bottom="3.937007874015748E-2" header="3.937007874015748E-2" footer="3.937007874015748E-2"/>
  <pageSetup paperSize="9" scale="64" firstPageNumber="6" orientation="portrait" useFirstPageNumber="1" r:id="rId1"/>
  <headerFooter>
    <oddFooter>&amp;C&amp;"B Nazanin,Regular"&amp;P</oddFooter>
  </headerFooter>
  <rowBreaks count="2" manualBreakCount="2">
    <brk id="38" max="7" man="1"/>
    <brk id="9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rightToLeft="1" view="pageLayout" topLeftCell="A13" zoomScaleNormal="120" zoomScaleSheetLayoutView="100" workbookViewId="0">
      <selection activeCell="A19" sqref="A1:XFD1048576"/>
    </sheetView>
  </sheetViews>
  <sheetFormatPr defaultColWidth="9" defaultRowHeight="19.5"/>
  <cols>
    <col min="1" max="1" width="2.7109375" style="5" customWidth="1"/>
    <col min="2" max="2" width="47.42578125" style="19" customWidth="1"/>
    <col min="3" max="3" width="2.140625" style="5" customWidth="1"/>
    <col min="4" max="4" width="12.5703125" style="14" customWidth="1"/>
    <col min="5" max="5" width="2.140625" style="5" customWidth="1"/>
    <col min="6" max="6" width="13.42578125" style="15" customWidth="1"/>
    <col min="7" max="7" width="0.42578125" style="15" customWidth="1"/>
    <col min="8" max="8" width="12.5703125" style="15" customWidth="1"/>
    <col min="9" max="9" width="0.85546875" style="5" customWidth="1"/>
    <col min="10" max="10" width="28.140625" style="5" customWidth="1"/>
    <col min="11" max="11" width="17.140625" style="5" customWidth="1"/>
    <col min="12" max="16384" width="9" style="5"/>
  </cols>
  <sheetData>
    <row r="1" spans="1:12" ht="20.25">
      <c r="A1" s="765" t="str">
        <f>مفروضات!$C$1</f>
        <v>دانشگاه علوم پزشکی و خدمات بهداشتی درمانی سمنان</v>
      </c>
      <c r="B1" s="766"/>
      <c r="C1" s="766"/>
      <c r="D1" s="766"/>
      <c r="E1" s="766"/>
      <c r="F1" s="766"/>
      <c r="G1" s="766"/>
      <c r="H1" s="766"/>
      <c r="I1" s="4"/>
      <c r="J1" s="4"/>
      <c r="K1" s="4"/>
      <c r="L1" s="4"/>
    </row>
    <row r="2" spans="1:12" s="6" customFormat="1">
      <c r="B2" s="767" t="s">
        <v>33</v>
      </c>
      <c r="C2" s="767"/>
      <c r="D2" s="767"/>
      <c r="E2" s="767"/>
      <c r="F2" s="767"/>
      <c r="G2" s="767"/>
      <c r="H2" s="767"/>
    </row>
    <row r="3" spans="1:12" ht="20.25">
      <c r="A3" s="6"/>
      <c r="B3" s="767" t="str">
        <f>مفروضات!$C$7</f>
        <v>سال مالي منتهي به 29 اسفند ماه 1402</v>
      </c>
      <c r="C3" s="767"/>
      <c r="D3" s="767"/>
      <c r="E3" s="767"/>
      <c r="F3" s="767"/>
      <c r="G3" s="767"/>
      <c r="H3" s="767"/>
      <c r="I3" s="6"/>
      <c r="J3" s="6"/>
      <c r="K3" s="6"/>
      <c r="L3" s="6"/>
    </row>
    <row r="4" spans="1:12" ht="21.75" customHeight="1">
      <c r="B4" s="768" t="s">
        <v>222</v>
      </c>
      <c r="C4" s="768"/>
      <c r="D4" s="768"/>
      <c r="E4" s="768"/>
      <c r="F4" s="768"/>
      <c r="G4" s="768"/>
      <c r="H4" s="768"/>
      <c r="J4" s="6"/>
    </row>
    <row r="5" spans="1:12" ht="152.25" customHeight="1">
      <c r="B5" s="774" t="s">
        <v>223</v>
      </c>
      <c r="C5" s="774"/>
      <c r="D5" s="774"/>
      <c r="E5" s="774"/>
      <c r="F5" s="774"/>
      <c r="G5" s="774"/>
      <c r="H5" s="774"/>
    </row>
    <row r="6" spans="1:12" ht="22.5" customHeight="1">
      <c r="B6" s="774" t="s">
        <v>657</v>
      </c>
      <c r="C6" s="774"/>
      <c r="D6" s="774"/>
      <c r="E6" s="774"/>
      <c r="F6" s="774"/>
      <c r="G6" s="774"/>
      <c r="H6" s="774"/>
    </row>
    <row r="7" spans="1:12" ht="21">
      <c r="B7" s="774" t="s">
        <v>602</v>
      </c>
      <c r="C7" s="774"/>
      <c r="D7" s="774"/>
      <c r="E7" s="774"/>
      <c r="F7" s="774"/>
      <c r="G7" s="774"/>
      <c r="H7" s="774"/>
    </row>
    <row r="8" spans="1:12" ht="37.5" customHeight="1">
      <c r="B8" s="775" t="s">
        <v>658</v>
      </c>
      <c r="C8" s="775"/>
      <c r="D8" s="775"/>
      <c r="E8" s="775"/>
      <c r="F8" s="775"/>
      <c r="G8" s="775"/>
      <c r="H8" s="775"/>
    </row>
    <row r="9" spans="1:12" ht="64.5" customHeight="1">
      <c r="B9" s="772" t="s">
        <v>908</v>
      </c>
      <c r="C9" s="772"/>
      <c r="D9" s="772"/>
      <c r="E9" s="772"/>
      <c r="F9" s="772"/>
      <c r="G9" s="772"/>
      <c r="H9" s="772"/>
    </row>
    <row r="10" spans="1:12" ht="24.75" customHeight="1">
      <c r="B10" s="266" t="s">
        <v>69</v>
      </c>
      <c r="C10" s="267"/>
      <c r="D10" s="85"/>
      <c r="E10" s="85"/>
      <c r="F10" s="268" t="s">
        <v>67</v>
      </c>
      <c r="G10" s="269"/>
      <c r="H10" s="268" t="s">
        <v>68</v>
      </c>
    </row>
    <row r="11" spans="1:12" ht="18.75" customHeight="1">
      <c r="B11" s="3" t="s">
        <v>306</v>
      </c>
      <c r="C11" s="270"/>
      <c r="D11" s="271"/>
      <c r="E11" s="61"/>
      <c r="F11" s="271" t="s">
        <v>324</v>
      </c>
      <c r="G11" s="272"/>
      <c r="H11" s="273" t="s">
        <v>296</v>
      </c>
    </row>
    <row r="12" spans="1:12" ht="18.75" customHeight="1">
      <c r="B12" s="67" t="s">
        <v>34</v>
      </c>
      <c r="C12" s="274"/>
      <c r="D12" s="271"/>
      <c r="E12" s="62"/>
      <c r="F12" s="271" t="s">
        <v>325</v>
      </c>
      <c r="G12" s="275"/>
      <c r="H12" s="273" t="s">
        <v>296</v>
      </c>
    </row>
    <row r="13" spans="1:12" ht="55.5" customHeight="1">
      <c r="B13" s="3" t="s">
        <v>35</v>
      </c>
      <c r="C13" s="274"/>
      <c r="D13" s="271"/>
      <c r="E13" s="62"/>
      <c r="F13" s="271" t="s">
        <v>326</v>
      </c>
      <c r="G13" s="275"/>
      <c r="H13" s="276" t="s">
        <v>335</v>
      </c>
    </row>
    <row r="14" spans="1:12" ht="18.75" customHeight="1">
      <c r="B14" s="3" t="s">
        <v>6</v>
      </c>
      <c r="C14" s="274"/>
      <c r="D14" s="271"/>
      <c r="E14" s="62"/>
      <c r="F14" s="271" t="s">
        <v>328</v>
      </c>
      <c r="G14" s="275"/>
      <c r="H14" s="273" t="s">
        <v>296</v>
      </c>
    </row>
    <row r="15" spans="1:12" ht="18.75" customHeight="1">
      <c r="B15" s="3" t="s">
        <v>317</v>
      </c>
      <c r="C15" s="274"/>
      <c r="D15" s="271"/>
      <c r="E15" s="62"/>
      <c r="F15" s="271" t="s">
        <v>329</v>
      </c>
      <c r="G15" s="275"/>
      <c r="H15" s="273" t="s">
        <v>296</v>
      </c>
    </row>
    <row r="16" spans="1:12" ht="18.75" customHeight="1">
      <c r="B16" s="3" t="s">
        <v>318</v>
      </c>
      <c r="C16" s="274"/>
      <c r="D16" s="277"/>
      <c r="E16" s="62"/>
      <c r="F16" s="277" t="s">
        <v>330</v>
      </c>
      <c r="G16" s="275"/>
      <c r="H16" s="273" t="s">
        <v>296</v>
      </c>
    </row>
    <row r="17" spans="2:8" ht="18.75" customHeight="1">
      <c r="B17" s="3" t="s">
        <v>319</v>
      </c>
      <c r="C17" s="274"/>
      <c r="D17" s="277"/>
      <c r="E17" s="62"/>
      <c r="F17" s="277" t="s">
        <v>331</v>
      </c>
      <c r="G17" s="275"/>
      <c r="H17" s="273" t="s">
        <v>296</v>
      </c>
    </row>
    <row r="18" spans="2:8" ht="32.25" customHeight="1">
      <c r="B18" s="3" t="s">
        <v>320</v>
      </c>
      <c r="C18" s="274"/>
      <c r="D18" s="278"/>
      <c r="E18" s="62"/>
      <c r="F18" s="278" t="s">
        <v>332</v>
      </c>
      <c r="G18" s="275"/>
      <c r="H18" s="273" t="s">
        <v>323</v>
      </c>
    </row>
    <row r="19" spans="2:8" ht="54" customHeight="1">
      <c r="B19" s="3" t="s">
        <v>37</v>
      </c>
      <c r="C19" s="274"/>
      <c r="D19" s="277"/>
      <c r="E19" s="62"/>
      <c r="F19" s="279" t="s">
        <v>622</v>
      </c>
      <c r="G19" s="275"/>
      <c r="H19" s="276" t="s">
        <v>336</v>
      </c>
    </row>
    <row r="20" spans="2:8" ht="39" customHeight="1">
      <c r="B20" s="3" t="s">
        <v>321</v>
      </c>
      <c r="C20" s="274"/>
      <c r="D20" s="277"/>
      <c r="E20" s="62"/>
      <c r="F20" s="277" t="s">
        <v>334</v>
      </c>
      <c r="G20" s="275"/>
      <c r="H20" s="273" t="s">
        <v>296</v>
      </c>
    </row>
    <row r="21" spans="2:8" ht="32.25" customHeight="1">
      <c r="B21" s="3" t="s">
        <v>38</v>
      </c>
      <c r="C21" s="274"/>
      <c r="D21" s="277"/>
      <c r="E21" s="62"/>
      <c r="F21" s="277" t="s">
        <v>333</v>
      </c>
      <c r="G21" s="275"/>
      <c r="H21" s="273" t="s">
        <v>296</v>
      </c>
    </row>
    <row r="22" spans="2:8" ht="18.75" customHeight="1">
      <c r="B22" s="3" t="s">
        <v>322</v>
      </c>
      <c r="C22" s="274"/>
      <c r="D22" s="277"/>
      <c r="E22" s="62"/>
      <c r="F22" s="277" t="s">
        <v>327</v>
      </c>
      <c r="G22" s="275"/>
      <c r="H22" s="273" t="s">
        <v>296</v>
      </c>
    </row>
    <row r="23" spans="2:8" ht="82.5" customHeight="1">
      <c r="B23" s="772" t="s">
        <v>909</v>
      </c>
      <c r="C23" s="772"/>
      <c r="D23" s="772"/>
      <c r="E23" s="772"/>
      <c r="F23" s="772"/>
      <c r="G23" s="772"/>
      <c r="H23" s="772"/>
    </row>
    <row r="24" spans="2:8" ht="57.75" customHeight="1">
      <c r="B24" s="772"/>
      <c r="C24" s="772"/>
      <c r="D24" s="772"/>
      <c r="E24" s="772"/>
      <c r="F24" s="772"/>
      <c r="G24" s="772"/>
      <c r="H24" s="772"/>
    </row>
  </sheetData>
  <mergeCells count="11">
    <mergeCell ref="B9:H9"/>
    <mergeCell ref="B23:H23"/>
    <mergeCell ref="B24:H24"/>
    <mergeCell ref="B4:H4"/>
    <mergeCell ref="B5:H5"/>
    <mergeCell ref="B8:H8"/>
    <mergeCell ref="A1:H1"/>
    <mergeCell ref="B2:H2"/>
    <mergeCell ref="B3:H3"/>
    <mergeCell ref="B6:H6"/>
    <mergeCell ref="B7:H7"/>
  </mergeCells>
  <printOptions horizontalCentered="1"/>
  <pageMargins left="3.937007874015748E-2" right="3.937007874015748E-2" top="3.937007874015748E-2" bottom="3.937007874015748E-2" header="3.937007874015748E-2" footer="3.937007874015748E-2"/>
  <pageSetup paperSize="9" scale="84" firstPageNumber="9" orientation="portrait" useFirstPageNumber="1" r:id="rId1"/>
  <headerFooter>
    <oddFooter>&amp;C&amp;"B Nazanin,Regular"&amp;P</oddFooter>
  </headerFooter>
  <rowBreaks count="1" manualBreakCount="1">
    <brk id="2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55</vt:i4>
      </vt:variant>
    </vt:vector>
  </HeadingPairs>
  <TitlesOfParts>
    <vt:vector size="95" baseType="lpstr">
      <vt:lpstr>تجزیه و تحلیل صورت مالی</vt:lpstr>
      <vt:lpstr>مفروضات</vt:lpstr>
      <vt:lpstr>صفحه اول</vt:lpstr>
      <vt:lpstr>صورت وضعیت مالی</vt:lpstr>
      <vt:lpstr>صورت تغییرات در وضعیت مالی</vt:lpstr>
      <vt:lpstr>صورت تغییرات در ارزش خالص</vt:lpstr>
      <vt:lpstr>صورت مقایسه بودجه و عملکرد</vt:lpstr>
      <vt:lpstr>1-2</vt:lpstr>
      <vt:lpstr>2-1</vt:lpstr>
      <vt:lpstr>2-2</vt:lpstr>
      <vt:lpstr>2-3</vt:lpstr>
      <vt:lpstr>4</vt:lpstr>
      <vt:lpstr>3</vt:lpstr>
      <vt:lpstr>5</vt:lpstr>
      <vt:lpstr>6-7</vt:lpstr>
      <vt:lpstr>8-9</vt:lpstr>
      <vt:lpstr>10</vt:lpstr>
      <vt:lpstr>10+</vt:lpstr>
      <vt:lpstr>10-12</vt:lpstr>
      <vt:lpstr>13-14</vt:lpstr>
      <vt:lpstr>15</vt:lpstr>
      <vt:lpstr>16-17-18</vt:lpstr>
      <vt:lpstr>19-23</vt:lpstr>
      <vt:lpstr>24</vt:lpstr>
      <vt:lpstr>25-28</vt:lpstr>
      <vt:lpstr>29-32</vt:lpstr>
      <vt:lpstr>33-36</vt:lpstr>
      <vt:lpstr>37</vt:lpstr>
      <vt:lpstr>38-39</vt:lpstr>
      <vt:lpstr>40</vt:lpstr>
      <vt:lpstr>40-1</vt:lpstr>
      <vt:lpstr>41-1</vt:lpstr>
      <vt:lpstr>41-2</vt:lpstr>
      <vt:lpstr>43</vt:lpstr>
      <vt:lpstr>43-3</vt:lpstr>
      <vt:lpstr>44</vt:lpstr>
      <vt:lpstr>45</vt:lpstr>
      <vt:lpstr>45-2</vt:lpstr>
      <vt:lpstr>46</vt:lpstr>
      <vt:lpstr>47-49</vt:lpstr>
      <vt:lpstr>_8_پيش‌پرداخت‌ها</vt:lpstr>
      <vt:lpstr>'1-2'!OLE_LINK1</vt:lpstr>
      <vt:lpstr>'10'!Print_Area</vt:lpstr>
      <vt:lpstr>'10-12'!Print_Area</vt:lpstr>
      <vt:lpstr>'1-2'!Print_Area</vt:lpstr>
      <vt:lpstr>'13-14'!Print_Area</vt:lpstr>
      <vt:lpstr>'15'!Print_Area</vt:lpstr>
      <vt:lpstr>'16-17-18'!Print_Area</vt:lpstr>
      <vt:lpstr>'19-23'!Print_Area</vt:lpstr>
      <vt:lpstr>'2-1'!Print_Area</vt:lpstr>
      <vt:lpstr>'2-2'!Print_Area</vt:lpstr>
      <vt:lpstr>'2-3'!Print_Area</vt:lpstr>
      <vt:lpstr>'25-28'!Print_Area</vt:lpstr>
      <vt:lpstr>'29-32'!Print_Area</vt:lpstr>
      <vt:lpstr>'3'!Print_Area</vt:lpstr>
      <vt:lpstr>'33-36'!Print_Area</vt:lpstr>
      <vt:lpstr>'37'!Print_Area</vt:lpstr>
      <vt:lpstr>'38-39'!Print_Area</vt:lpstr>
      <vt:lpstr>'4'!Print_Area</vt:lpstr>
      <vt:lpstr>'40-1'!Print_Area</vt:lpstr>
      <vt:lpstr>'41-2'!Print_Area</vt:lpstr>
      <vt:lpstr>'43'!Print_Area</vt:lpstr>
      <vt:lpstr>'43-3'!Print_Area</vt:lpstr>
      <vt:lpstr>'44'!Print_Area</vt:lpstr>
      <vt:lpstr>'45'!Print_Area</vt:lpstr>
      <vt:lpstr>'45-2'!Print_Area</vt:lpstr>
      <vt:lpstr>'46'!Print_Area</vt:lpstr>
      <vt:lpstr>'47-49'!Print_Area</vt:lpstr>
      <vt:lpstr>'6-7'!Print_Area</vt:lpstr>
      <vt:lpstr>'8-9'!Print_Area</vt:lpstr>
      <vt:lpstr>'صفحه اول'!Print_Area</vt:lpstr>
      <vt:lpstr>'صورت تغییرات در ارزش خالص'!Print_Area</vt:lpstr>
      <vt:lpstr>'صورت تغییرات در وضعیت مالی'!Print_Area</vt:lpstr>
      <vt:lpstr>'صورت مقایسه بودجه و عملکرد'!Print_Area</vt:lpstr>
      <vt:lpstr>'صورت وضعیت مالی'!Print_Area</vt:lpstr>
      <vt:lpstr>مفروضات!Print_Area</vt:lpstr>
      <vt:lpstr>'10-12'!Print_Titles</vt:lpstr>
      <vt:lpstr>'1-2'!Print_Titles</vt:lpstr>
      <vt:lpstr>'13-14'!Print_Titles</vt:lpstr>
      <vt:lpstr>'16-17-18'!Print_Titles</vt:lpstr>
      <vt:lpstr>'19-23'!Print_Titles</vt:lpstr>
      <vt:lpstr>'2-1'!Print_Titles</vt:lpstr>
      <vt:lpstr>'2-2'!Print_Titles</vt:lpstr>
      <vt:lpstr>'2-3'!Print_Titles</vt:lpstr>
      <vt:lpstr>'24'!Print_Titles</vt:lpstr>
      <vt:lpstr>'25-28'!Print_Titles</vt:lpstr>
      <vt:lpstr>'3'!Print_Titles</vt:lpstr>
      <vt:lpstr>'37'!Print_Titles</vt:lpstr>
      <vt:lpstr>'4'!Print_Titles</vt:lpstr>
      <vt:lpstr>'45'!Print_Titles</vt:lpstr>
      <vt:lpstr>'45-2'!Print_Titles</vt:lpstr>
      <vt:lpstr>'46'!Print_Titles</vt:lpstr>
      <vt:lpstr>'47-49'!Print_Titles</vt:lpstr>
      <vt:lpstr>'6-7'!Print_Titles</vt:lpstr>
      <vt:lpstr>'8-9'!Print_Titles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moradi-f</dc:creator>
  <cp:lastModifiedBy>کاربر اعتبارات</cp:lastModifiedBy>
  <cp:lastPrinted>2024-11-10T12:25:48Z</cp:lastPrinted>
  <dcterms:created xsi:type="dcterms:W3CDTF">2012-10-24T09:06:54Z</dcterms:created>
  <dcterms:modified xsi:type="dcterms:W3CDTF">2025-06-01T09:54:43Z</dcterms:modified>
</cp:coreProperties>
</file>